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768"/>
  </bookViews>
  <sheets>
    <sheet name="Project Common Index" sheetId="6" r:id="rId1"/>
    <sheet name="Climate and Energy" sheetId="1" r:id="rId2"/>
    <sheet name="Port-City Relations" sheetId="2" r:id="rId3"/>
    <sheet name="Governance and Ethics" sheetId="3" r:id="rId4"/>
    <sheet name="Resilient Infrastructure" sheetId="4" r:id="rId5"/>
    <sheet name="Safety and Security" sheetId="5" r:id="rId6"/>
    <sheet name="TOOL waste reduction calc" sheetId="8" r:id="rId7"/>
    <sheet name="TOOL emission-reduction-calc" sheetId="7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5" i="4"/>
  <c r="B2" i="2"/>
  <c r="B2" i="4"/>
  <c r="B2" i="1"/>
  <c r="J1" i="2"/>
  <c r="E14" i="1"/>
  <c r="G14" i="1"/>
  <c r="E6" i="2"/>
  <c r="J2" i="1"/>
  <c r="K1" i="2" l="1"/>
  <c r="F15" i="8" l="1"/>
  <c r="F16" i="8" s="1"/>
  <c r="F18" i="8" s="1"/>
  <c r="C6" i="3" l="1"/>
  <c r="C8" i="3"/>
  <c r="C9" i="3"/>
  <c r="J15" i="7" l="1"/>
  <c r="L15" i="7" s="1"/>
  <c r="J16" i="7"/>
  <c r="L16" i="7" s="1"/>
  <c r="J17" i="7"/>
  <c r="L17" i="7" s="1"/>
  <c r="J18" i="7"/>
  <c r="L18" i="7" s="1"/>
  <c r="J14" i="7"/>
  <c r="L14" i="7" s="1"/>
  <c r="G14" i="7"/>
  <c r="G15" i="7"/>
  <c r="G16" i="7"/>
  <c r="G18" i="7"/>
  <c r="E6" i="1"/>
  <c r="N7" i="6" l="1"/>
  <c r="A24" i="6" l="1"/>
  <c r="A25" i="6"/>
  <c r="E10" i="2" l="1"/>
  <c r="E10" i="1" l="1"/>
  <c r="J10" i="7" l="1"/>
  <c r="I2" i="7" s="1"/>
  <c r="J5" i="7"/>
  <c r="J4" i="7"/>
  <c r="I1" i="2" l="1"/>
  <c r="G17" i="7" l="1"/>
  <c r="D2" i="8"/>
  <c r="E8" i="1" s="1"/>
  <c r="D7" i="8"/>
  <c r="E9" i="1" s="1"/>
  <c r="E7" i="1" s="1"/>
  <c r="G19" i="7" l="1"/>
  <c r="G12" i="7" s="1"/>
  <c r="E9" i="2" s="1"/>
  <c r="I1" i="1"/>
  <c r="I1" i="5"/>
  <c r="H1" i="5"/>
  <c r="J2" i="5"/>
  <c r="J1" i="4"/>
  <c r="I1" i="4"/>
  <c r="H1" i="4"/>
  <c r="K2" i="4"/>
  <c r="K1" i="3"/>
  <c r="L1" i="3"/>
  <c r="J1" i="3"/>
  <c r="I1" i="3"/>
  <c r="H1" i="3"/>
  <c r="M2" i="3"/>
  <c r="L2" i="2"/>
  <c r="H1" i="2"/>
  <c r="A16" i="6"/>
  <c r="H1" i="1"/>
  <c r="B7" i="2" l="1"/>
  <c r="E5" i="4" l="1"/>
  <c r="F5" i="4"/>
  <c r="G5" i="4"/>
  <c r="H5" i="4"/>
  <c r="I5" i="4"/>
  <c r="A15" i="6"/>
  <c r="A14" i="6"/>
  <c r="A13" i="6"/>
  <c r="A12" i="6"/>
  <c r="A11" i="6"/>
  <c r="C6" i="5" l="1"/>
  <c r="C5" i="5"/>
  <c r="D7" i="4"/>
  <c r="E11" i="2"/>
  <c r="E5" i="2"/>
  <c r="C7" i="3"/>
  <c r="C5" i="3"/>
  <c r="B2" i="5" l="1"/>
  <c r="B6" i="6" s="1"/>
  <c r="B2" i="3"/>
  <c r="B5" i="6"/>
  <c r="P4" i="7" l="1"/>
  <c r="Q4" i="7" s="1"/>
  <c r="R4" i="7" s="1"/>
  <c r="S4" i="7" s="1"/>
  <c r="E8" i="2" l="1"/>
  <c r="B4" i="6"/>
  <c r="B2" i="6"/>
  <c r="E7" i="2" l="1"/>
  <c r="B3" i="6" l="1"/>
  <c r="N1" i="6" s="1"/>
  <c r="B10" i="6" s="1"/>
  <c r="B19" i="6" l="1"/>
  <c r="B22" i="6" s="1"/>
  <c r="B28" i="6" s="1"/>
  <c r="N5" i="6"/>
  <c r="N6" i="6"/>
  <c r="N3" i="6"/>
  <c r="N2" i="6"/>
  <c r="N4" i="6"/>
</calcChain>
</file>

<file path=xl/comments1.xml><?xml version="1.0" encoding="utf-8"?>
<comments xmlns="http://schemas.openxmlformats.org/spreadsheetml/2006/main">
  <authors>
    <author>Autor</author>
  </authors>
  <commentList>
    <comment ref="A10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select default weighings or customize</t>
        </r>
      </text>
    </comment>
    <comment ref="A19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Enter the projects cost as set-up costs over expected service life</t>
        </r>
      </text>
    </comment>
    <comment ref="A22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select a innovativeness-score (see D3.2)</t>
        </r>
      </text>
    </comment>
    <comment ref="A26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select a innovativeness-score (see D5.3)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Default option is no. Select yes in order to set a custom-weighting of the Climate and Energy KPI</t>
        </r>
      </text>
    </comment>
    <comment ref="D8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Please go to the 'TOOL wast reduction calc' tab in order to enter your information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Please go to the 'TOOL wast reduction calc' tab in order to enter your information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Select yes in order to set a custom-weighting of the Port-City Relations KPI</t>
        </r>
      </text>
    </comment>
    <comment ref="K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DSS tool user is obliged to explain on what basis the decision for the specific score has been made</t>
        </r>
      </text>
    </comment>
    <comment ref="D8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Please go to the 'TOOL emission-reduction-calc' tab in order to enter your information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Please go to the 'TOOL emission-reduction-calc' tab in order to enter your information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Default option is no. Select yes in order to set a custom-weighting of the Governance and Ethics KPI</t>
        </r>
      </text>
    </comment>
    <comment ref="I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DSS tool user is obliged to explain on what basis the decision for the specific score has been made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Default option is no. Select yes in order to set a custom-weighting of the Resilient Infrastructure KPI</t>
        </r>
      </text>
    </comment>
    <comment ref="J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DSS tool user is obliged to explain on what basis the decision for the specific score has been made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Default option is no. Select yes in order to set a custom-weighting of the Resilient Infrastructure KPI</t>
        </r>
      </text>
    </comment>
    <comment ref="I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DSS tool user is obliged to explain on what basis the decision for the specific score has been made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I3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Please enter the all the required information below</t>
        </r>
      </text>
    </comment>
    <comment ref="E13" authorId="0" shapeId="0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Please enter the respecitve amount of saved air emissions (yearly basis)</t>
        </r>
      </text>
    </comment>
  </commentList>
</comments>
</file>

<file path=xl/sharedStrings.xml><?xml version="1.0" encoding="utf-8"?>
<sst xmlns="http://schemas.openxmlformats.org/spreadsheetml/2006/main" count="223" uniqueCount="149">
  <si>
    <t>unit</t>
  </si>
  <si>
    <t>KPI</t>
  </si>
  <si>
    <t>tons</t>
  </si>
  <si>
    <t>estimated effect</t>
  </si>
  <si>
    <t>score</t>
  </si>
  <si>
    <t>waste reduction/year</t>
  </si>
  <si>
    <t>type</t>
  </si>
  <si>
    <t>dredging material</t>
  </si>
  <si>
    <t>Aggregated KPI "Climate and Energy":</t>
  </si>
  <si>
    <t>Aggregated KPI "Governance and Ethics":</t>
  </si>
  <si>
    <t>To which extent does this action contribute to transparency in port governance?</t>
  </si>
  <si>
    <t>yes</t>
  </si>
  <si>
    <t>no</t>
  </si>
  <si>
    <t>To which extent does this action contribute to the goal of fighting corruption?</t>
  </si>
  <si>
    <t>n/a</t>
  </si>
  <si>
    <t>Aggregated KPI "Port-City Relations":</t>
  </si>
  <si>
    <t>Aggregated KPI "Resilient Infrastructure":</t>
  </si>
  <si>
    <t>Aggregated KPI "Safety and Security":</t>
  </si>
  <si>
    <t>To which extent does this action promote and increase the share of women in upper management of port-based enterprises?
To which extent does this action promote and increase the overall share of women in port-based enterprises?</t>
  </si>
  <si>
    <t>To which extent does this action promote the income development in port-related jobs?</t>
  </si>
  <si>
    <t>noise</t>
  </si>
  <si>
    <t>To which extent does this action foster the port acceptance in terms of the port-city dialogue?</t>
  </si>
  <si>
    <t>To which extent does this action prevent the harmful consequences of criminal and terroristic actions?</t>
  </si>
  <si>
    <t>teu</t>
  </si>
  <si>
    <t>Savings of optimizations due to digitization and automation in port activities</t>
  </si>
  <si>
    <t>Growth in port's throughput capacities due to new constructions or constructional or organisational optimizations</t>
  </si>
  <si>
    <t>To which extent does this action improve the infrastructure's resilience regarding the threats of climate change?</t>
  </si>
  <si>
    <t>NOx</t>
  </si>
  <si>
    <t>Calculation of the dB-reduction-coefficient</t>
  </si>
  <si>
    <t>estimated reduction in noise at source of emission [in dB]</t>
  </si>
  <si>
    <t>basis [dB]</t>
  </si>
  <si>
    <t>Does this action reduce direct or implicit obstacles for third party operators?
(beyond respective applicable legislation only)</t>
  </si>
  <si>
    <t>Is this action linked to fullfiling all requirements for a classification according to ISO 14001?</t>
  </si>
  <si>
    <t>Select KPI-weighing:</t>
  </si>
  <si>
    <t>Climate-and-Energy-focus</t>
  </si>
  <si>
    <t>Safety-and-Security-focus</t>
  </si>
  <si>
    <t>Resilient-Infrastructure-focus</t>
  </si>
  <si>
    <t>Governance-and-Ethics-focus</t>
  </si>
  <si>
    <t>Port-City-Relation-focus</t>
  </si>
  <si>
    <t>Custom</t>
  </si>
  <si>
    <t>Consolidated Objectives Index:</t>
  </si>
  <si>
    <t>innovativeness-score:</t>
  </si>
  <si>
    <t>Project Common Index:</t>
  </si>
  <si>
    <t>Euro</t>
  </si>
  <si>
    <t>Euro per year</t>
  </si>
  <si>
    <t>tbd</t>
  </si>
  <si>
    <t>m3</t>
  </si>
  <si>
    <t>recycling</t>
  </si>
  <si>
    <t>reduced dredging activity (estimated material)</t>
  </si>
  <si>
    <t>non-hazardous</t>
  </si>
  <si>
    <t>hazardous</t>
  </si>
  <si>
    <t>reused dredging material</t>
  </si>
  <si>
    <t>reduction in waste</t>
  </si>
  <si>
    <t>reusage of waste</t>
  </si>
  <si>
    <t>thermal use</t>
  </si>
  <si>
    <t>waste (plastic + general)</t>
  </si>
  <si>
    <t>Scales</t>
  </si>
  <si>
    <t>value lists</t>
  </si>
  <si>
    <t>Scale</t>
  </si>
  <si>
    <t>PM</t>
  </si>
  <si>
    <t>kg</t>
  </si>
  <si>
    <t>reasoning for evaluation</t>
  </si>
  <si>
    <t>custom-weighted-aggregated-KPI</t>
  </si>
  <si>
    <t>Cost-adjusted innovativeness score:</t>
  </si>
  <si>
    <t>sub-KPI:</t>
  </si>
  <si>
    <t>reduction of noise emissions</t>
  </si>
  <si>
    <t>reduction of air emissions</t>
  </si>
  <si>
    <t>Calculation of the air-emission-reduction</t>
  </si>
  <si>
    <t>Reduced PM10 [kg]</t>
  </si>
  <si>
    <t>Reduced PM2.5 [kg]</t>
  </si>
  <si>
    <t>Reduced NOx [kg]</t>
  </si>
  <si>
    <t>Reduced NH3 [kg]</t>
  </si>
  <si>
    <t>Reduced SO2 [kg]</t>
  </si>
  <si>
    <t>air</t>
  </si>
  <si>
    <t>land use</t>
  </si>
  <si>
    <t>Former port area dedicated to alternative urban use</t>
  </si>
  <si>
    <t>square meters</t>
  </si>
  <si>
    <t>estimated runtime over the year [%/100] - before</t>
  </si>
  <si>
    <t>estimated runtime over the year [%/100] - after</t>
  </si>
  <si>
    <t>number of use cases [multiplier, w/ pilot case] - before</t>
  </si>
  <si>
    <t>number of use cases [multiplier w/ pilot case] - after</t>
  </si>
  <si>
    <t>tons
(equivalent units)</t>
  </si>
  <si>
    <t>population density in the square kilometer of the source of emission [inhabitants/km2]</t>
  </si>
  <si>
    <t>Port of the Future weighing</t>
  </si>
  <si>
    <t>reduction in water pollution</t>
  </si>
  <si>
    <t>The new emission of harmful or toxic substances has been cut to 1/10 of the emission level of the foregone period.
(If national or EU-regulatory limits apply these have to be undercut by the factor 10 at least)</t>
  </si>
  <si>
    <t>The new emission of harmful or toxic substances has been cut to 1/100 of the emission level of the foregone period.
(If national or EU-regulatory limits apply these have to be undercut by the factor 100 at least)</t>
  </si>
  <si>
    <t>The new emission of harmful or toxic substances has been cut to 1/1,000 of the emission level of the foregone period.
(If national or EU-regulatory limits apply these have to be undercut by the factor 1,000 at least)</t>
  </si>
  <si>
    <t>The new emission of harmful or toxic substances has been cut to 1/10,000 of the emission level of the foregone period.
(If national or EU-regulatory limits apply these have to be undercut by the factor 10,000 at least)</t>
  </si>
  <si>
    <t>The new emission of harmful or toxic substances has been cut to 1/100,000 of the emission level of the foregone period.
(If national or EU-regulatory limits apply these have to be undercut by the factor 100,000 at least)</t>
  </si>
  <si>
    <t>litres</t>
  </si>
  <si>
    <t>fresh water saved</t>
  </si>
  <si>
    <t>To which extent does this action promote a reduction in fatal and non-fatal occupational injuries as well as  industrial and nautical incidents?</t>
  </si>
  <si>
    <t>Allocable costs [in Euro]:</t>
  </si>
  <si>
    <t>Cost-adjusted-consolidated Objectives Index:</t>
  </si>
  <si>
    <t>kg/day</t>
  </si>
  <si>
    <t>kg/year</t>
  </si>
  <si>
    <t>%savings</t>
  </si>
  <si>
    <t>Reduced pollutant</t>
  </si>
  <si>
    <t>Total CO2 / day</t>
  </si>
  <si>
    <t>Total CO2 / year</t>
  </si>
  <si>
    <t>% red</t>
  </si>
  <si>
    <t>Total red</t>
  </si>
  <si>
    <t>m3 per day</t>
  </si>
  <si>
    <t>tons per day</t>
  </si>
  <si>
    <t>tons per year</t>
  </si>
  <si>
    <t>Red year</t>
  </si>
  <si>
    <r>
      <t>Reduction or compensation of port-related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equivalents emissions/year</t>
    </r>
  </si>
  <si>
    <r>
      <t xml:space="preserve">low
</t>
    </r>
    <r>
      <rPr>
        <sz val="14"/>
        <color theme="1"/>
        <rFont val="Calibri"/>
        <family val="2"/>
        <scheme val="minor"/>
      </rPr>
      <t>provide the public with necessary information;
do not restrain information;
provide possibilities to contact</t>
    </r>
  </si>
  <si>
    <r>
      <rPr>
        <b/>
        <sz val="14"/>
        <color theme="1"/>
        <rFont val="Calibri"/>
        <family val="2"/>
        <scheme val="minor"/>
      </rPr>
      <t>low to medium</t>
    </r>
    <r>
      <rPr>
        <sz val="14"/>
        <color theme="1"/>
        <rFont val="Calibri"/>
        <family val="2"/>
        <scheme val="minor"/>
      </rPr>
      <t xml:space="preserve">
open for recommendation and feedback on ongoing or future port projects;
publish annual sustainability report;
to have cultural events to promote the historic and current role of the port for the city</t>
    </r>
  </si>
  <si>
    <r>
      <rPr>
        <b/>
        <sz val="14"/>
        <color theme="1"/>
        <rFont val="Calibri"/>
        <family val="2"/>
        <scheme val="minor"/>
      </rPr>
      <t>medium</t>
    </r>
    <r>
      <rPr>
        <sz val="14"/>
        <color theme="1"/>
        <rFont val="Calibri"/>
        <family val="2"/>
        <scheme val="minor"/>
      </rPr>
      <t xml:space="preserve">
good information policy;
account for the population's point of view onto topics in the decision making process;
provide possibilites for exchange of views</t>
    </r>
  </si>
  <si>
    <r>
      <rPr>
        <b/>
        <sz val="14"/>
        <color theme="1"/>
        <rFont val="Calibri"/>
        <family val="2"/>
        <scheme val="minor"/>
      </rPr>
      <t>medium to high</t>
    </r>
    <r>
      <rPr>
        <sz val="14"/>
        <color theme="1"/>
        <rFont val="Calibri"/>
        <family val="2"/>
        <scheme val="minor"/>
      </rPr>
      <t xml:space="preserve">
good information policy;
vivid processes to exchange views;
participation of civic represents in decision making through public hearings</t>
    </r>
  </si>
  <si>
    <r>
      <t xml:space="preserve">high
</t>
    </r>
    <r>
      <rPr>
        <sz val="14"/>
        <color theme="1"/>
        <rFont val="Calibri"/>
        <family val="2"/>
        <scheme val="minor"/>
      </rPr>
      <t>good and proactive information culture;
special programs and designated coordinator for the port-city dialogue;
seeking inclusion of civic represents in decision making, support referendums</t>
    </r>
  </si>
  <si>
    <r>
      <t xml:space="preserve">Reduction of emissions in port
</t>
    </r>
    <r>
      <rPr>
        <b/>
        <sz val="14"/>
        <color theme="1"/>
        <rFont val="Calibri"/>
        <family val="2"/>
        <scheme val="minor"/>
      </rPr>
      <t>noise</t>
    </r>
    <r>
      <rPr>
        <sz val="14"/>
        <color theme="1"/>
        <rFont val="Calibri"/>
        <family val="2"/>
        <scheme val="minor"/>
      </rPr>
      <t xml:space="preserve">: reduction of noise emissions
</t>
    </r>
    <r>
      <rPr>
        <b/>
        <sz val="14"/>
        <color theme="1"/>
        <rFont val="Calibri"/>
        <family val="2"/>
        <scheme val="minor"/>
      </rPr>
      <t>air:</t>
    </r>
    <r>
      <rPr>
        <sz val="14"/>
        <color theme="1"/>
        <rFont val="Calibri"/>
        <family val="2"/>
        <scheme val="minor"/>
      </rPr>
      <t xml:space="preserve"> reduction of air emissions
</t>
    </r>
    <r>
      <rPr>
        <b/>
        <sz val="14"/>
        <color theme="1"/>
        <rFont val="Calibri"/>
        <family val="2"/>
        <scheme val="minor"/>
      </rPr>
      <t>water:</t>
    </r>
    <r>
      <rPr>
        <sz val="14"/>
        <color theme="1"/>
        <rFont val="Calibri"/>
        <family val="2"/>
        <scheme val="minor"/>
      </rPr>
      <t xml:space="preserve"> reduction in water pollution as change in additional, effective emissions</t>
    </r>
  </si>
  <si>
    <r>
      <t xml:space="preserve">low
</t>
    </r>
    <r>
      <rPr>
        <sz val="14"/>
        <color theme="1"/>
        <rFont val="Calibri"/>
        <family val="2"/>
        <scheme val="minor"/>
      </rPr>
      <t>provide the possibility of advanced training;
non-monetary improvements of working environment</t>
    </r>
  </si>
  <si>
    <r>
      <rPr>
        <b/>
        <sz val="14"/>
        <color theme="1"/>
        <rFont val="Calibri"/>
        <family val="2"/>
        <scheme val="minor"/>
      </rPr>
      <t>low to medium</t>
    </r>
    <r>
      <rPr>
        <sz val="14"/>
        <color theme="1"/>
        <rFont val="Calibri"/>
        <family val="2"/>
        <scheme val="minor"/>
      </rPr>
      <t xml:space="preserve">
actively support  advanced training;
providing secondary vocational internships</t>
    </r>
  </si>
  <si>
    <r>
      <t xml:space="preserve">medium
</t>
    </r>
    <r>
      <rPr>
        <sz val="14"/>
        <color theme="1"/>
        <rFont val="Calibri"/>
        <family val="2"/>
        <scheme val="minor"/>
      </rPr>
      <t>efforts in the individual education and the skill improvement of a specific port-related professional group</t>
    </r>
  </si>
  <si>
    <r>
      <rPr>
        <b/>
        <sz val="14"/>
        <color theme="1"/>
        <rFont val="Calibri"/>
        <family val="2"/>
        <scheme val="minor"/>
      </rPr>
      <t>medium to high</t>
    </r>
    <r>
      <rPr>
        <sz val="14"/>
        <color theme="1"/>
        <rFont val="Calibri"/>
        <family val="2"/>
        <scheme val="minor"/>
      </rPr>
      <t xml:space="preserve">
strong efforts in the individual education and the improvement of the workforce's skills across all port-related professions</t>
    </r>
  </si>
  <si>
    <r>
      <rPr>
        <b/>
        <sz val="14"/>
        <color theme="1"/>
        <rFont val="Calibri"/>
        <family val="2"/>
        <scheme val="minor"/>
      </rPr>
      <t>high</t>
    </r>
    <r>
      <rPr>
        <sz val="14"/>
        <color theme="1"/>
        <rFont val="Calibri"/>
        <family val="2"/>
        <scheme val="minor"/>
      </rPr>
      <t xml:space="preserve">
establish a third-stage educational institute (private/state-run) with maritime focus in the city; very strong efforts in the individual education and the improvement of the workforce's skills across all port-related professions
</t>
    </r>
  </si>
  <si>
    <r>
      <rPr>
        <b/>
        <sz val="14"/>
        <color theme="1"/>
        <rFont val="Calibri"/>
        <family val="2"/>
        <scheme val="minor"/>
      </rPr>
      <t>low</t>
    </r>
    <r>
      <rPr>
        <sz val="14"/>
        <color theme="1"/>
        <rFont val="Calibri"/>
        <family val="2"/>
        <scheme val="minor"/>
      </rPr>
      <t xml:space="preserve">
e.g. make decision making process for decisions of public interests public;
have minimum two individuals involved in staff selection decisions </t>
    </r>
  </si>
  <si>
    <r>
      <rPr>
        <b/>
        <sz val="14"/>
        <color theme="1"/>
        <rFont val="Calibri"/>
        <family val="2"/>
        <scheme val="minor"/>
      </rPr>
      <t>low to medium</t>
    </r>
    <r>
      <rPr>
        <sz val="14"/>
        <color theme="1"/>
        <rFont val="Calibri"/>
        <family val="2"/>
        <scheme val="minor"/>
      </rPr>
      <t xml:space="preserve">
limit individuals' power in decision making in upper management</t>
    </r>
  </si>
  <si>
    <r>
      <rPr>
        <b/>
        <sz val="14"/>
        <color theme="1"/>
        <rFont val="Calibri"/>
        <family val="2"/>
        <scheme val="minor"/>
      </rPr>
      <t>medium</t>
    </r>
    <r>
      <rPr>
        <sz val="14"/>
        <color theme="1"/>
        <rFont val="Calibri"/>
        <family val="2"/>
        <scheme val="minor"/>
      </rPr>
      <t xml:space="preserve">
have an organisational structure that reveals every units and persons competence within the organisation;
have an authority with decision supervision power for upper management</t>
    </r>
  </si>
  <si>
    <r>
      <rPr>
        <b/>
        <sz val="14"/>
        <color theme="1"/>
        <rFont val="Calibri"/>
        <family val="2"/>
        <scheme val="minor"/>
      </rPr>
      <t>medium to high</t>
    </r>
    <r>
      <rPr>
        <sz val="14"/>
        <color theme="1"/>
        <rFont val="Calibri"/>
        <family val="2"/>
        <scheme val="minor"/>
      </rPr>
      <t xml:space="preserve">
implement organisational framework with checks and balances for upper management;
have a well established and transparent system for staff selection;
disclosure of decision making in staff selection and promotion in upper management</t>
    </r>
  </si>
  <si>
    <r>
      <rPr>
        <b/>
        <sz val="14"/>
        <color theme="1"/>
        <rFont val="Calibri"/>
        <family val="2"/>
        <scheme val="minor"/>
      </rPr>
      <t xml:space="preserve">high
</t>
    </r>
    <r>
      <rPr>
        <sz val="14"/>
        <color theme="1"/>
        <rFont val="Calibri"/>
        <family val="2"/>
        <scheme val="minor"/>
      </rPr>
      <t>highest level of transparency in decision making and staff selection and promotion;
clear organisational framework with checks and balances that enables control of each decision making unit's work</t>
    </r>
  </si>
  <si>
    <r>
      <rPr>
        <b/>
        <sz val="14"/>
        <color theme="1"/>
        <rFont val="Calibri"/>
        <family val="2"/>
        <scheme val="minor"/>
      </rPr>
      <t>low</t>
    </r>
    <r>
      <rPr>
        <sz val="14"/>
        <color theme="1"/>
        <rFont val="Calibri"/>
        <family val="2"/>
        <scheme val="minor"/>
      </rPr>
      <t xml:space="preserve">
introduction of voluntary public events, e.g. "women career day", "girls day"; participation in "equal pay day" events</t>
    </r>
  </si>
  <si>
    <r>
      <rPr>
        <b/>
        <sz val="14"/>
        <color theme="1"/>
        <rFont val="Calibri"/>
        <family val="2"/>
        <scheme val="minor"/>
      </rPr>
      <t>low to medium</t>
    </r>
    <r>
      <rPr>
        <sz val="14"/>
        <color theme="1"/>
        <rFont val="Calibri"/>
        <family val="2"/>
        <scheme val="minor"/>
      </rPr>
      <t xml:space="preserve">
making salaries in upper management transparent;
commit to non-binding equality initiatives;
special programs that aim at increasing the share of female employees in traditionally male-dominated port-related professions</t>
    </r>
  </si>
  <si>
    <r>
      <rPr>
        <b/>
        <sz val="14"/>
        <color theme="1"/>
        <rFont val="Calibri"/>
        <family val="2"/>
        <scheme val="minor"/>
      </rPr>
      <t xml:space="preserve">medium
</t>
    </r>
    <r>
      <rPr>
        <sz val="14"/>
        <color theme="1"/>
        <rFont val="Calibri"/>
        <family val="2"/>
        <scheme val="minor"/>
      </rPr>
      <t>strong efforts to obtain equality in upper management, e.g. with mentoring program to individually foster women's careers within the organization;
commit to binding equality initiatives;
minimum quotas of 25% or more in upper management positions</t>
    </r>
  </si>
  <si>
    <r>
      <rPr>
        <b/>
        <sz val="14"/>
        <color theme="1"/>
        <rFont val="Calibri"/>
        <family val="2"/>
        <scheme val="minor"/>
      </rPr>
      <t>medium to high</t>
    </r>
    <r>
      <rPr>
        <sz val="14"/>
        <color theme="1"/>
        <rFont val="Calibri"/>
        <family val="2"/>
        <scheme val="minor"/>
      </rPr>
      <t xml:space="preserve">
set-up equally represented dual leadership positions;
very strong efforts to obtain equality in upper management;
commit to binding equality initiatives </t>
    </r>
  </si>
  <si>
    <r>
      <rPr>
        <b/>
        <sz val="14"/>
        <color theme="1"/>
        <rFont val="Calibri"/>
        <family val="2"/>
        <scheme val="minor"/>
      </rPr>
      <t>high</t>
    </r>
    <r>
      <rPr>
        <sz val="14"/>
        <color theme="1"/>
        <rFont val="Calibri"/>
        <family val="2"/>
        <scheme val="minor"/>
      </rPr>
      <t xml:space="preserve">
implementation of a mandatory quota of 50% in upper managment positions of public and private organisations</t>
    </r>
  </si>
  <si>
    <r>
      <rPr>
        <b/>
        <sz val="14"/>
        <color theme="1"/>
        <rFont val="Calibri"/>
        <family val="2"/>
        <scheme val="minor"/>
      </rPr>
      <t xml:space="preserve">low
</t>
    </r>
    <r>
      <rPr>
        <sz val="14"/>
        <color theme="1"/>
        <rFont val="Calibri"/>
        <family val="2"/>
        <scheme val="minor"/>
      </rPr>
      <t>minimum legal requirements are met; additional measures are being implemented;
statements of intent or other non-binding characteristics</t>
    </r>
  </si>
  <si>
    <r>
      <rPr>
        <b/>
        <sz val="14"/>
        <color theme="1"/>
        <rFont val="Calibri"/>
        <family val="2"/>
        <scheme val="minor"/>
      </rPr>
      <t>low to medium</t>
    </r>
    <r>
      <rPr>
        <sz val="14"/>
        <color theme="1"/>
        <rFont val="Calibri"/>
        <family val="2"/>
        <scheme val="minor"/>
      </rPr>
      <t xml:space="preserve">
clear rules for procurement with transparent structural design
</t>
    </r>
  </si>
  <si>
    <r>
      <t xml:space="preserve">medium
</t>
    </r>
    <r>
      <rPr>
        <sz val="14"/>
        <color theme="1"/>
        <rFont val="Calibri"/>
        <family val="2"/>
        <scheme val="minor"/>
      </rPr>
      <t>events of bribary are unlikely, especially on upper stages of the organisation;
very transparent and reasonable structural design of procurement and order management</t>
    </r>
  </si>
  <si>
    <r>
      <rPr>
        <b/>
        <sz val="14"/>
        <color theme="1"/>
        <rFont val="Calibri"/>
        <family val="2"/>
        <scheme val="minor"/>
      </rPr>
      <t>medium to high</t>
    </r>
    <r>
      <rPr>
        <sz val="14"/>
        <color theme="1"/>
        <rFont val="Calibri"/>
        <family val="2"/>
        <scheme val="minor"/>
      </rPr>
      <t xml:space="preserve">
events of bribary are very unlikely on all stages of the organisation;
high level of transparency in procurement and order management;
supervision of compliance with procurement rules by independent authorities (on a voluntary level)</t>
    </r>
  </si>
  <si>
    <r>
      <rPr>
        <b/>
        <sz val="14"/>
        <color theme="1"/>
        <rFont val="Calibri"/>
        <family val="2"/>
        <scheme val="minor"/>
      </rPr>
      <t>high</t>
    </r>
    <r>
      <rPr>
        <sz val="14"/>
        <color theme="1"/>
        <rFont val="Calibri"/>
        <family val="2"/>
        <scheme val="minor"/>
      </rPr>
      <t xml:space="preserve">
events of bribary are extremely unlikely on all stages of the organisation;
highest possible level of transparency in procurement, order management and decision making;
supervision of compliance with procurement rules by independent authorities (on a voluntary level)</t>
    </r>
  </si>
  <si>
    <r>
      <t xml:space="preserve">low
</t>
    </r>
    <r>
      <rPr>
        <sz val="14"/>
        <color theme="1"/>
        <rFont val="Calibri"/>
        <family val="2"/>
        <scheme val="minor"/>
      </rPr>
      <t>The question of climate resilient has been adressed in the constructional planning process</t>
    </r>
  </si>
  <si>
    <r>
      <rPr>
        <b/>
        <sz val="14"/>
        <color theme="1"/>
        <rFont val="Calibri"/>
        <family val="2"/>
        <scheme val="minor"/>
      </rPr>
      <t xml:space="preserve">low to medium
</t>
    </r>
    <r>
      <rPr>
        <sz val="14"/>
        <color theme="1"/>
        <rFont val="Calibri"/>
        <family val="2"/>
        <scheme val="minor"/>
      </rPr>
      <t>The constructional measure aims at improving the future climate resilience of existing infrastructure</t>
    </r>
  </si>
  <si>
    <r>
      <rPr>
        <b/>
        <sz val="14"/>
        <color theme="1"/>
        <rFont val="Calibri"/>
        <family val="2"/>
        <scheme val="minor"/>
      </rPr>
      <t xml:space="preserve">medium
</t>
    </r>
    <r>
      <rPr>
        <sz val="14"/>
        <color theme="1"/>
        <rFont val="Calibri"/>
        <family val="2"/>
        <scheme val="minor"/>
      </rPr>
      <t>The constructional measure (new construction or improvement) takes into account concrete szenarios of possible resilience issues due to climate change</t>
    </r>
  </si>
  <si>
    <r>
      <t xml:space="preserve">medium to high
</t>
    </r>
    <r>
      <rPr>
        <sz val="14"/>
        <color theme="1"/>
        <rFont val="Calibri"/>
        <family val="2"/>
        <scheme val="minor"/>
      </rPr>
      <t>Apply an advanced resilience management and foster the diversification of risks with manifold but yet aligned constructional measures;
take into account concrete szenarios of possible resilience issues due to climate change</t>
    </r>
  </si>
  <si>
    <r>
      <rPr>
        <b/>
        <sz val="14"/>
        <color theme="1"/>
        <rFont val="Calibri"/>
        <family val="2"/>
        <scheme val="minor"/>
      </rPr>
      <t>high</t>
    </r>
    <r>
      <rPr>
        <sz val="14"/>
        <color theme="1"/>
        <rFont val="Calibri"/>
        <family val="2"/>
        <scheme val="minor"/>
      </rPr>
      <t xml:space="preserve">
The measures exceed the necessary provisions for the contemporary worst-case szenarios for the specific port area;
interconnected advanced resilience management system in place </t>
    </r>
  </si>
  <si>
    <r>
      <rPr>
        <b/>
        <sz val="14"/>
        <color theme="1"/>
        <rFont val="Calibri"/>
        <family val="2"/>
        <scheme val="minor"/>
      </rPr>
      <t>low</t>
    </r>
    <r>
      <rPr>
        <sz val="14"/>
        <color theme="1"/>
        <rFont val="Calibri"/>
        <family val="2"/>
        <scheme val="minor"/>
      </rPr>
      <t xml:space="preserve">
separately address the challenges of terrorism, cyber-security and criminal acts</t>
    </r>
  </si>
  <si>
    <r>
      <rPr>
        <b/>
        <sz val="14"/>
        <color theme="1"/>
        <rFont val="Calibri"/>
        <family val="2"/>
        <scheme val="minor"/>
      </rPr>
      <t>low to medium</t>
    </r>
    <r>
      <rPr>
        <sz val="14"/>
        <color theme="1"/>
        <rFont val="Calibri"/>
        <family val="2"/>
        <scheme val="minor"/>
      </rPr>
      <t xml:space="preserve">
comply with ISPS code;
address the challenges of terrorism and cyber-security;
take profound actions of any kind in the prevention of criminal acts to minimize possible threats </t>
    </r>
  </si>
  <si>
    <r>
      <t>medium</t>
    </r>
    <r>
      <rPr>
        <sz val="14"/>
        <color theme="1"/>
        <rFont val="Calibri"/>
        <family val="2"/>
        <scheme val="minor"/>
      </rPr>
      <t xml:space="preserve">
adapt profound measures (construtional, organisational, IT-related) to account for the threats of terrorism, cyber-security and criminal acts</t>
    </r>
  </si>
  <si>
    <r>
      <rPr>
        <b/>
        <sz val="14"/>
        <color theme="1"/>
        <rFont val="Calibri"/>
        <family val="2"/>
        <scheme val="minor"/>
      </rPr>
      <t>medium to high</t>
    </r>
    <r>
      <rPr>
        <sz val="14"/>
        <color theme="1"/>
        <rFont val="Calibri"/>
        <family val="2"/>
        <scheme val="minor"/>
      </rPr>
      <t xml:space="preserve">
exceed best practice methods;
work together with a respective expert (eg. law enforcement authorities, research groups, specialised consultants, other port-related parties, authorities or organisations) in order to develop customized security solutions for the port's facilities</t>
    </r>
  </si>
  <si>
    <r>
      <t xml:space="preserve">high
</t>
    </r>
    <r>
      <rPr>
        <sz val="14"/>
        <color theme="1"/>
        <rFont val="Calibri"/>
        <family val="2"/>
        <scheme val="minor"/>
      </rPr>
      <t xml:space="preserve">exceed best practice methods;
take an active role within a cross-disciplinary team of law enforcement authorities, research groups, specialised consultants and other port-related parties, authorities or organisations with the aim of developing new systems to improve cyber-security as well as overall security </t>
    </r>
  </si>
  <si>
    <r>
      <rPr>
        <b/>
        <sz val="14"/>
        <color theme="1"/>
        <rFont val="Calibri"/>
        <family val="2"/>
        <scheme val="minor"/>
      </rPr>
      <t>low</t>
    </r>
    <r>
      <rPr>
        <sz val="14"/>
        <color theme="1"/>
        <rFont val="Calibri"/>
        <family val="2"/>
        <scheme val="minor"/>
      </rPr>
      <t xml:space="preserve">
met all criteria regarding work safety required by law;
try to implement additional proposals of trade unions or employer's liability insurance association</t>
    </r>
  </si>
  <si>
    <r>
      <rPr>
        <b/>
        <sz val="14"/>
        <color theme="1"/>
        <rFont val="Calibri"/>
        <family val="2"/>
        <scheme val="minor"/>
      </rPr>
      <t>low to medium</t>
    </r>
    <r>
      <rPr>
        <sz val="14"/>
        <color theme="1"/>
        <rFont val="Calibri"/>
        <family val="2"/>
        <scheme val="minor"/>
      </rPr>
      <t xml:space="preserve">
have organisational conditions that exceed minimum requirements for the prevention of industrial and nautical incidents and pay additional attention to the prevention of  fatal work related injuries</t>
    </r>
  </si>
  <si>
    <r>
      <t xml:space="preserve">medium
</t>
    </r>
    <r>
      <rPr>
        <sz val="14"/>
        <color theme="1"/>
        <rFont val="Calibri"/>
        <family val="2"/>
        <scheme val="minor"/>
      </rPr>
      <t>improve equipment and optimize organisational and constructional conditions in order to prevent fatal and non-fatal work related injuries as well as industrial and nautical incidents</t>
    </r>
  </si>
  <si>
    <r>
      <rPr>
        <b/>
        <sz val="14"/>
        <color theme="1"/>
        <rFont val="Calibri"/>
        <family val="2"/>
        <scheme val="minor"/>
      </rPr>
      <t>medium to high</t>
    </r>
    <r>
      <rPr>
        <sz val="14"/>
        <color theme="1"/>
        <rFont val="Calibri"/>
        <family val="2"/>
        <scheme val="minor"/>
      </rPr>
      <t xml:space="preserve">
implement or adapt processes that make fatal injuries very unlikely;
provide the best equipment as well as organisational and constructional conditions to minimize the risk of work related injuries as well as industrial and nautical incidents</t>
    </r>
  </si>
  <si>
    <r>
      <rPr>
        <b/>
        <sz val="14"/>
        <color theme="1"/>
        <rFont val="Calibri"/>
        <family val="2"/>
        <scheme val="minor"/>
      </rPr>
      <t>high</t>
    </r>
    <r>
      <rPr>
        <sz val="14"/>
        <color theme="1"/>
        <rFont val="Calibri"/>
        <family val="2"/>
        <scheme val="minor"/>
      </rPr>
      <t xml:space="preserve">
implement or adapt processes that make fatal injuries extremely unlikely;
provide the best equipment as well as organisational and constructional conditions to minimize the risk of work related injuries as well as industrial and nautical incidents;
develop respective processes that exceed best practice methods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</si>
</sst>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sz val="13.7"/>
      <color rgb="FF7030A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/>
    <xf numFmtId="0" fontId="0" fillId="0" borderId="0" xfId="0" applyBorder="1"/>
    <xf numFmtId="0" fontId="4" fillId="8" borderId="4" xfId="0" applyFont="1" applyFill="1" applyBorder="1"/>
    <xf numFmtId="164" fontId="4" fillId="5" borderId="6" xfId="0" applyNumberFormat="1" applyFont="1" applyFill="1" applyBorder="1"/>
    <xf numFmtId="0" fontId="4" fillId="10" borderId="7" xfId="0" applyFont="1" applyFill="1" applyBorder="1"/>
    <xf numFmtId="164" fontId="4" fillId="11" borderId="8" xfId="0" applyNumberFormat="1" applyFont="1" applyFill="1" applyBorder="1"/>
    <xf numFmtId="0" fontId="4" fillId="9" borderId="7" xfId="0" applyFont="1" applyFill="1" applyBorder="1"/>
    <xf numFmtId="164" fontId="4" fillId="6" borderId="8" xfId="0" applyNumberFormat="1" applyFont="1" applyFill="1" applyBorder="1"/>
    <xf numFmtId="0" fontId="4" fillId="7" borderId="7" xfId="0" applyFont="1" applyFill="1" applyBorder="1"/>
    <xf numFmtId="164" fontId="4" fillId="4" borderId="8" xfId="0" applyNumberFormat="1" applyFont="1" applyFill="1" applyBorder="1"/>
    <xf numFmtId="0" fontId="4" fillId="2" borderId="9" xfId="0" applyFont="1" applyFill="1" applyBorder="1"/>
    <xf numFmtId="164" fontId="4" fillId="12" borderId="11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0" fontId="4" fillId="17" borderId="2" xfId="0" applyFont="1" applyFill="1" applyBorder="1"/>
    <xf numFmtId="0" fontId="5" fillId="17" borderId="3" xfId="0" applyFont="1" applyFill="1" applyBorder="1"/>
    <xf numFmtId="0" fontId="4" fillId="3" borderId="13" xfId="0" applyFont="1" applyFill="1" applyBorder="1"/>
    <xf numFmtId="2" fontId="4" fillId="0" borderId="6" xfId="0" applyNumberFormat="1" applyFont="1" applyBorder="1"/>
    <xf numFmtId="0" fontId="4" fillId="0" borderId="16" xfId="0" applyFont="1" applyBorder="1"/>
    <xf numFmtId="0" fontId="4" fillId="0" borderId="17" xfId="0" applyFont="1" applyFill="1" applyBorder="1"/>
    <xf numFmtId="0" fontId="4" fillId="0" borderId="14" xfId="0" applyFont="1" applyBorder="1"/>
    <xf numFmtId="0" fontId="4" fillId="0" borderId="11" xfId="0" applyFont="1" applyFill="1" applyBorder="1"/>
    <xf numFmtId="0" fontId="4" fillId="0" borderId="0" xfId="0" applyFont="1" applyBorder="1"/>
    <xf numFmtId="0" fontId="4" fillId="17" borderId="4" xfId="0" applyFont="1" applyFill="1" applyBorder="1"/>
    <xf numFmtId="0" fontId="5" fillId="17" borderId="6" xfId="0" applyFont="1" applyFill="1" applyBorder="1"/>
    <xf numFmtId="0" fontId="4" fillId="3" borderId="9" xfId="0" applyFont="1" applyFill="1" applyBorder="1"/>
    <xf numFmtId="2" fontId="4" fillId="0" borderId="11" xfId="0" applyNumberFormat="1" applyFont="1" applyBorder="1"/>
    <xf numFmtId="0" fontId="6" fillId="0" borderId="0" xfId="0" applyFont="1"/>
    <xf numFmtId="0" fontId="4" fillId="17" borderId="13" xfId="0" applyFont="1" applyFill="1" applyBorder="1"/>
    <xf numFmtId="0" fontId="4" fillId="0" borderId="14" xfId="0" applyFont="1" applyFill="1" applyBorder="1"/>
    <xf numFmtId="0" fontId="5" fillId="0" borderId="13" xfId="0" applyFont="1" applyBorder="1"/>
    <xf numFmtId="2" fontId="7" fillId="14" borderId="14" xfId="0" applyNumberFormat="1" applyFont="1" applyFill="1" applyBorder="1"/>
    <xf numFmtId="0" fontId="8" fillId="0" borderId="0" xfId="0" applyFont="1"/>
    <xf numFmtId="0" fontId="8" fillId="0" borderId="5" xfId="0" applyFont="1" applyBorder="1"/>
    <xf numFmtId="0" fontId="8" fillId="3" borderId="5" xfId="0" applyFont="1" applyFill="1" applyBorder="1"/>
    <xf numFmtId="0" fontId="8" fillId="0" borderId="6" xfId="0" applyFont="1" applyBorder="1"/>
    <xf numFmtId="0" fontId="9" fillId="0" borderId="0" xfId="0" applyFont="1"/>
    <xf numFmtId="0" fontId="8" fillId="17" borderId="2" xfId="0" applyFont="1" applyFill="1" applyBorder="1"/>
    <xf numFmtId="164" fontId="8" fillId="5" borderId="3" xfId="0" applyNumberFormat="1" applyFont="1" applyFill="1" applyBorder="1"/>
    <xf numFmtId="0" fontId="8" fillId="0" borderId="10" xfId="0" applyFont="1" applyBorder="1"/>
    <xf numFmtId="0" fontId="8" fillId="0" borderId="10" xfId="0" applyFont="1" applyFill="1" applyBorder="1"/>
    <xf numFmtId="0" fontId="8" fillId="0" borderId="11" xfId="0" applyFont="1" applyBorder="1"/>
    <xf numFmtId="0" fontId="10" fillId="0" borderId="0" xfId="0" applyFont="1"/>
    <xf numFmtId="0" fontId="10" fillId="17" borderId="2" xfId="0" applyFont="1" applyFill="1" applyBorder="1"/>
    <xf numFmtId="0" fontId="10" fillId="17" borderId="12" xfId="0" applyFont="1" applyFill="1" applyBorder="1"/>
    <xf numFmtId="0" fontId="10" fillId="17" borderId="3" xfId="0" applyFont="1" applyFill="1" applyBorder="1"/>
    <xf numFmtId="0" fontId="8" fillId="0" borderId="1" xfId="0" applyFont="1" applyBorder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3" borderId="12" xfId="0" applyFont="1" applyFill="1" applyBorder="1"/>
    <xf numFmtId="164" fontId="8" fillId="5" borderId="12" xfId="0" applyNumberFormat="1" applyFont="1" applyFill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0" fontId="8" fillId="0" borderId="13" xfId="0" applyFont="1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right"/>
    </xf>
    <xf numFmtId="2" fontId="8" fillId="5" borderId="5" xfId="0" applyNumberFormat="1" applyFont="1" applyFill="1" applyBorder="1"/>
    <xf numFmtId="3" fontId="8" fillId="0" borderId="5" xfId="0" applyNumberFormat="1" applyFont="1" applyBorder="1"/>
    <xf numFmtId="3" fontId="8" fillId="0" borderId="6" xfId="0" applyNumberFormat="1" applyFont="1" applyBorder="1"/>
    <xf numFmtId="0" fontId="8" fillId="0" borderId="15" xfId="0" applyFont="1" applyBorder="1"/>
    <xf numFmtId="0" fontId="8" fillId="0" borderId="0" xfId="0" applyFont="1" applyBorder="1"/>
    <xf numFmtId="0" fontId="8" fillId="3" borderId="0" xfId="0" applyFont="1" applyFill="1" applyBorder="1"/>
    <xf numFmtId="2" fontId="8" fillId="15" borderId="0" xfId="0" applyNumberFormat="1" applyFont="1" applyFill="1" applyBorder="1"/>
    <xf numFmtId="0" fontId="8" fillId="0" borderId="8" xfId="0" applyFont="1" applyBorder="1"/>
    <xf numFmtId="3" fontId="8" fillId="0" borderId="0" xfId="0" applyNumberFormat="1" applyFont="1" applyBorder="1"/>
    <xf numFmtId="3" fontId="8" fillId="0" borderId="8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14" xfId="0" applyFont="1" applyBorder="1"/>
    <xf numFmtId="0" fontId="12" fillId="0" borderId="10" xfId="0" applyFont="1" applyBorder="1"/>
    <xf numFmtId="0" fontId="12" fillId="17" borderId="2" xfId="0" applyFont="1" applyFill="1" applyBorder="1" applyAlignment="1">
      <alignment horizontal="center"/>
    </xf>
    <xf numFmtId="0" fontId="12" fillId="17" borderId="12" xfId="0" applyFont="1" applyFill="1" applyBorder="1" applyAlignment="1">
      <alignment horizontal="center"/>
    </xf>
    <xf numFmtId="0" fontId="12" fillId="17" borderId="3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wrapText="1"/>
    </xf>
    <xf numFmtId="164" fontId="8" fillId="13" borderId="3" xfId="0" applyNumberFormat="1" applyFont="1" applyFill="1" applyBorder="1"/>
    <xf numFmtId="0" fontId="10" fillId="17" borderId="12" xfId="0" applyFont="1" applyFill="1" applyBorder="1" applyAlignment="1">
      <alignment horizontal="center"/>
    </xf>
    <xf numFmtId="0" fontId="10" fillId="17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3" fontId="8" fillId="3" borderId="13" xfId="0" applyNumberFormat="1" applyFont="1" applyFill="1" applyBorder="1" applyAlignment="1">
      <alignment vertical="center"/>
    </xf>
    <xf numFmtId="164" fontId="8" fillId="13" borderId="13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64" fontId="8" fillId="13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/>
    <xf numFmtId="164" fontId="8" fillId="16" borderId="1" xfId="0" applyNumberFormat="1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0" borderId="0" xfId="0" applyFont="1"/>
    <xf numFmtId="3" fontId="8" fillId="0" borderId="0" xfId="0" applyNumberFormat="1" applyFont="1"/>
    <xf numFmtId="2" fontId="8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3" borderId="3" xfId="0" applyNumberFormat="1" applyFont="1" applyFill="1" applyBorder="1" applyAlignment="1">
      <alignment vertical="center"/>
    </xf>
    <xf numFmtId="0" fontId="8" fillId="0" borderId="2" xfId="0" applyFont="1" applyBorder="1" applyAlignment="1">
      <alignment wrapText="1"/>
    </xf>
    <xf numFmtId="0" fontId="8" fillId="6" borderId="1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0" borderId="3" xfId="0" applyFont="1" applyBorder="1"/>
    <xf numFmtId="164" fontId="8" fillId="4" borderId="3" xfId="0" applyNumberFormat="1" applyFont="1" applyFill="1" applyBorder="1"/>
    <xf numFmtId="0" fontId="10" fillId="17" borderId="4" xfId="0" applyFont="1" applyFill="1" applyBorder="1"/>
    <xf numFmtId="0" fontId="10" fillId="17" borderId="5" xfId="0" applyFont="1" applyFill="1" applyBorder="1"/>
    <xf numFmtId="0" fontId="10" fillId="17" borderId="5" xfId="0" applyFont="1" applyFill="1" applyBorder="1" applyAlignment="1">
      <alignment horizontal="center"/>
    </xf>
    <xf numFmtId="0" fontId="10" fillId="17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wrapText="1"/>
    </xf>
    <xf numFmtId="3" fontId="8" fillId="0" borderId="1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3" fontId="9" fillId="0" borderId="0" xfId="0" applyNumberFormat="1" applyFont="1"/>
    <xf numFmtId="0" fontId="8" fillId="0" borderId="12" xfId="0" applyFont="1" applyBorder="1" applyAlignment="1">
      <alignment vertical="center" wrapText="1"/>
    </xf>
    <xf numFmtId="0" fontId="8" fillId="3" borderId="1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12" borderId="12" xfId="0" applyFont="1" applyFill="1" applyBorder="1" applyAlignment="1">
      <alignment vertical="center"/>
    </xf>
    <xf numFmtId="0" fontId="8" fillId="3" borderId="3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10" fillId="0" borderId="2" xfId="0" applyFont="1" applyBorder="1"/>
    <xf numFmtId="0" fontId="10" fillId="0" borderId="12" xfId="0" applyFont="1" applyBorder="1"/>
    <xf numFmtId="0" fontId="10" fillId="12" borderId="12" xfId="0" applyFont="1" applyFill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8" fillId="0" borderId="7" xfId="0" applyFont="1" applyBorder="1"/>
    <xf numFmtId="0" fontId="8" fillId="0" borderId="9" xfId="0" applyFont="1" applyBorder="1"/>
    <xf numFmtId="0" fontId="16" fillId="0" borderId="0" xfId="0" applyFont="1"/>
    <xf numFmtId="0" fontId="17" fillId="0" borderId="0" xfId="0" applyFont="1"/>
    <xf numFmtId="0" fontId="17" fillId="0" borderId="0" xfId="0" applyFont="1" applyFill="1"/>
    <xf numFmtId="0" fontId="18" fillId="0" borderId="4" xfId="0" applyFont="1" applyBorder="1"/>
    <xf numFmtId="0" fontId="16" fillId="0" borderId="5" xfId="0" applyFont="1" applyBorder="1"/>
    <xf numFmtId="2" fontId="19" fillId="14" borderId="5" xfId="0" applyNumberFormat="1" applyFont="1" applyFill="1" applyBorder="1"/>
    <xf numFmtId="0" fontId="16" fillId="0" borderId="6" xfId="0" applyFont="1" applyBorder="1"/>
    <xf numFmtId="3" fontId="17" fillId="0" borderId="0" xfId="0" applyNumberFormat="1" applyFont="1"/>
    <xf numFmtId="0" fontId="16" fillId="0" borderId="7" xfId="0" applyFont="1" applyBorder="1"/>
    <xf numFmtId="0" fontId="16" fillId="0" borderId="0" xfId="0" applyFont="1" applyBorder="1"/>
    <xf numFmtId="0" fontId="16" fillId="0" borderId="8" xfId="0" applyFont="1" applyBorder="1"/>
    <xf numFmtId="2" fontId="16" fillId="3" borderId="1" xfId="0" applyNumberFormat="1" applyFont="1" applyFill="1" applyBorder="1"/>
    <xf numFmtId="0" fontId="19" fillId="0" borderId="0" xfId="0" applyFont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9" fillId="0" borderId="0" xfId="0" applyFont="1" applyFill="1"/>
    <xf numFmtId="0" fontId="16" fillId="3" borderId="1" xfId="0" applyFont="1" applyFill="1" applyBorder="1"/>
    <xf numFmtId="0" fontId="20" fillId="0" borderId="8" xfId="0" applyFont="1" applyBorder="1"/>
    <xf numFmtId="0" fontId="16" fillId="0" borderId="2" xfId="0" applyFont="1" applyBorder="1"/>
    <xf numFmtId="0" fontId="16" fillId="0" borderId="3" xfId="0" applyFont="1" applyBorder="1"/>
    <xf numFmtId="164" fontId="15" fillId="14" borderId="5" xfId="0" applyNumberFormat="1" applyFont="1" applyFill="1" applyBorder="1"/>
    <xf numFmtId="0" fontId="9" fillId="0" borderId="0" xfId="0" applyFont="1" applyBorder="1"/>
    <xf numFmtId="0" fontId="15" fillId="0" borderId="0" xfId="0" applyFont="1" applyBorder="1"/>
    <xf numFmtId="164" fontId="9" fillId="0" borderId="0" xfId="0" applyNumberFormat="1" applyFont="1" applyBorder="1"/>
    <xf numFmtId="0" fontId="12" fillId="0" borderId="0" xfId="0" applyFont="1" applyBorder="1"/>
    <xf numFmtId="165" fontId="15" fillId="14" borderId="5" xfId="0" applyNumberFormat="1" applyFont="1" applyFill="1" applyBorder="1"/>
    <xf numFmtId="0" fontId="10" fillId="0" borderId="7" xfId="0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10" xfId="0" applyFont="1" applyBorder="1"/>
    <xf numFmtId="0" fontId="12" fillId="0" borderId="0" xfId="0" applyFont="1"/>
    <xf numFmtId="0" fontId="22" fillId="0" borderId="0" xfId="0" applyFont="1"/>
    <xf numFmtId="0" fontId="2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4" fillId="0" borderId="0" xfId="0" applyFont="1"/>
    <xf numFmtId="0" fontId="12" fillId="3" borderId="1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6" fillId="3" borderId="2" xfId="0" applyFont="1" applyFill="1" applyBorder="1"/>
    <xf numFmtId="0" fontId="8" fillId="4" borderId="12" xfId="0" applyNumberFormat="1" applyFont="1" applyFill="1" applyBorder="1" applyAlignment="1">
      <alignment vertical="center"/>
    </xf>
    <xf numFmtId="0" fontId="8" fillId="4" borderId="12" xfId="0" applyNumberFormat="1" applyFont="1" applyFill="1" applyBorder="1"/>
    <xf numFmtId="164" fontId="8" fillId="6" borderId="3" xfId="0" applyNumberFormat="1" applyFont="1" applyFill="1" applyBorder="1"/>
    <xf numFmtId="164" fontId="8" fillId="12" borderId="3" xfId="0" applyNumberFormat="1" applyFont="1" applyFill="1" applyBorder="1"/>
    <xf numFmtId="0" fontId="8" fillId="17" borderId="13" xfId="0" applyFont="1" applyFill="1" applyBorder="1" applyAlignment="1">
      <alignment horizontal="center" vertical="center"/>
    </xf>
    <xf numFmtId="0" fontId="8" fillId="17" borderId="14" xfId="0" applyFont="1" applyFill="1" applyBorder="1" applyAlignment="1">
      <alignment horizontal="center" vertical="center"/>
    </xf>
  </cellXfs>
  <cellStyles count="1">
    <cellStyle name="Standard" xfId="0" builtinId="0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AF3FA"/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'Project Common Index'!$A$2:$A$6</c:f>
              <c:strCache>
                <c:ptCount val="5"/>
                <c:pt idx="0">
                  <c:v>Aggregated KPI "Climate and Energy":</c:v>
                </c:pt>
                <c:pt idx="1">
                  <c:v>Aggregated KPI "Port-City Relations":</c:v>
                </c:pt>
                <c:pt idx="2">
                  <c:v>Aggregated KPI "Governance and Ethics":</c:v>
                </c:pt>
                <c:pt idx="3">
                  <c:v>Aggregated KPI "Resilient Infrastructure":</c:v>
                </c:pt>
                <c:pt idx="4">
                  <c:v>Aggregated KPI "Safety and Security":</c:v>
                </c:pt>
              </c:strCache>
            </c:strRef>
          </c:cat>
          <c:val>
            <c:numRef>
              <c:f>'Project Common Index'!$B$2:$B$6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F-4FE6-B00D-A9AC371DA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950832"/>
        <c:axId val="1894952496"/>
      </c:radarChart>
      <c:catAx>
        <c:axId val="189495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952496"/>
        <c:crosses val="autoZero"/>
        <c:auto val="1"/>
        <c:lblAlgn val="ctr"/>
        <c:lblOffset val="100"/>
        <c:noMultiLvlLbl val="0"/>
      </c:catAx>
      <c:valAx>
        <c:axId val="189495249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95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16007</xdr:colOff>
      <xdr:row>0</xdr:row>
      <xdr:rowOff>169610</xdr:rowOff>
    </xdr:from>
    <xdr:to>
      <xdr:col>14</xdr:col>
      <xdr:colOff>636333</xdr:colOff>
      <xdr:row>20</xdr:row>
      <xdr:rowOff>153281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O28"/>
  <sheetViews>
    <sheetView showGridLines="0" tabSelected="1" zoomScale="90" zoomScaleNormal="90" workbookViewId="0"/>
  </sheetViews>
  <sheetFormatPr baseColWidth="10" defaultColWidth="11.42578125" defaultRowHeight="15" outlineLevelCol="1" x14ac:dyDescent="0.25"/>
  <cols>
    <col min="1" max="1" width="49.42578125" bestFit="1" customWidth="1"/>
    <col min="2" max="2" width="55.7109375" bestFit="1" customWidth="1"/>
    <col min="3" max="3" width="12" bestFit="1" customWidth="1"/>
    <col min="4" max="4" width="20.85546875" customWidth="1"/>
    <col min="13" max="13" width="27.7109375" hidden="1" customWidth="1" outlineLevel="1"/>
    <col min="14" max="14" width="11.42578125" hidden="1" customWidth="1" outlineLevel="1"/>
    <col min="15" max="15" width="11.42578125" collapsed="1"/>
  </cols>
  <sheetData>
    <row r="1" spans="1:14" ht="15.75" thickBot="1" x14ac:dyDescent="0.3">
      <c r="M1" s="1" t="s">
        <v>83</v>
      </c>
      <c r="N1" s="1">
        <f>(0.8*MAX($B$2:$B$6)+0.2*((SUM($B$2:$B$6)-MAX($B$2:$B$6))/4))</f>
        <v>0</v>
      </c>
    </row>
    <row r="2" spans="1:14" ht="15.75" x14ac:dyDescent="0.25">
      <c r="A2" s="3" t="s">
        <v>8</v>
      </c>
      <c r="B2" s="4">
        <f>'Climate and Energy'!B2</f>
        <v>0</v>
      </c>
      <c r="M2" s="1" t="s">
        <v>34</v>
      </c>
      <c r="N2" s="1">
        <f>(0.8*B2+0.2*((SUM($B$2:$B$6)-B2)/4))</f>
        <v>0</v>
      </c>
    </row>
    <row r="3" spans="1:14" ht="15.75" x14ac:dyDescent="0.25">
      <c r="A3" s="5" t="s">
        <v>15</v>
      </c>
      <c r="B3" s="6">
        <f>'Port-City Relations'!B2</f>
        <v>0</v>
      </c>
      <c r="M3" s="1" t="s">
        <v>38</v>
      </c>
      <c r="N3" s="1">
        <f>(0.8*B3+0.2*((SUM($B$2:$B$6)-B3)/4))</f>
        <v>0</v>
      </c>
    </row>
    <row r="4" spans="1:14" ht="15.75" x14ac:dyDescent="0.25">
      <c r="A4" s="7" t="s">
        <v>9</v>
      </c>
      <c r="B4" s="8">
        <f>'Governance and Ethics'!B2</f>
        <v>0</v>
      </c>
      <c r="M4" s="1" t="s">
        <v>37</v>
      </c>
      <c r="N4" s="1">
        <f>(0.8*B4+0.2*((SUM($B$2:$B$6)-B4)/4))</f>
        <v>0</v>
      </c>
    </row>
    <row r="5" spans="1:14" ht="15.75" x14ac:dyDescent="0.25">
      <c r="A5" s="9" t="s">
        <v>16</v>
      </c>
      <c r="B5" s="10">
        <f>'Resilient Infrastructure'!B2</f>
        <v>0</v>
      </c>
      <c r="M5" s="1" t="s">
        <v>36</v>
      </c>
      <c r="N5" s="1">
        <f t="shared" ref="N5:N6" si="0">(0.8*B5+0.2*((SUM($B$2:$B$6)-B5)/4))</f>
        <v>0</v>
      </c>
    </row>
    <row r="6" spans="1:14" ht="16.5" thickBot="1" x14ac:dyDescent="0.3">
      <c r="A6" s="11" t="s">
        <v>17</v>
      </c>
      <c r="B6" s="12">
        <f>'Safety and Security'!B2</f>
        <v>0</v>
      </c>
      <c r="M6" s="1" t="s">
        <v>35</v>
      </c>
      <c r="N6" s="1">
        <f t="shared" si="0"/>
        <v>0</v>
      </c>
    </row>
    <row r="7" spans="1:14" ht="15.75" x14ac:dyDescent="0.25">
      <c r="A7" s="13"/>
      <c r="B7" s="14"/>
      <c r="M7" s="1" t="s">
        <v>39</v>
      </c>
      <c r="N7" s="1" t="str">
        <f>IF(SUM(B11:B15)=0,"",B2*B11+B3*B12+B4*B13+B5*B14+B6*B14)</f>
        <v/>
      </c>
    </row>
    <row r="8" spans="1:14" ht="16.5" thickBot="1" x14ac:dyDescent="0.3">
      <c r="A8" s="13"/>
      <c r="B8" s="14"/>
    </row>
    <row r="9" spans="1:14" ht="16.5" thickBot="1" x14ac:dyDescent="0.3">
      <c r="A9" s="15" t="s">
        <v>33</v>
      </c>
      <c r="B9" s="16" t="s">
        <v>40</v>
      </c>
    </row>
    <row r="10" spans="1:14" ht="15.75" x14ac:dyDescent="0.25">
      <c r="A10" s="17" t="s">
        <v>83</v>
      </c>
      <c r="B10" s="18">
        <f>VLOOKUP(A10,M1:N7,2,FALSE)</f>
        <v>0</v>
      </c>
    </row>
    <row r="11" spans="1:14" ht="15.75" x14ac:dyDescent="0.25">
      <c r="A11" s="19" t="str">
        <f>IF($A$10="Custom","Climate and Energy [in %]","")</f>
        <v/>
      </c>
      <c r="B11" s="20"/>
    </row>
    <row r="12" spans="1:14" ht="15.75" x14ac:dyDescent="0.25">
      <c r="A12" s="19" t="str">
        <f>IF($A$10="Custom","Port-City Relation [in %]","")</f>
        <v/>
      </c>
      <c r="B12" s="20"/>
    </row>
    <row r="13" spans="1:14" ht="15.75" x14ac:dyDescent="0.25">
      <c r="A13" s="19" t="str">
        <f>IF($A$10="Custom","Governance and Ethics [in %]","")</f>
        <v/>
      </c>
      <c r="B13" s="20"/>
    </row>
    <row r="14" spans="1:14" ht="15.75" x14ac:dyDescent="0.25">
      <c r="A14" s="19" t="str">
        <f>IF($A$10="Custom","Resilient Infrastructure [in %]","")</f>
        <v/>
      </c>
      <c r="B14" s="20"/>
    </row>
    <row r="15" spans="1:14" ht="16.5" thickBot="1" x14ac:dyDescent="0.3">
      <c r="A15" s="21" t="str">
        <f>IF($A$10="Custom","Safety and Security [in %]","")</f>
        <v/>
      </c>
      <c r="B15" s="22"/>
    </row>
    <row r="16" spans="1:14" ht="15.75" x14ac:dyDescent="0.25">
      <c r="A16" s="13" t="str">
        <f>IF(A10="Custom",IF(SUM(B11:B15)=1,"custom weighing accepted","weighing must equal 1 in total"),"")</f>
        <v/>
      </c>
      <c r="B16" s="13"/>
    </row>
    <row r="17" spans="1:9" ht="16.5" thickBot="1" x14ac:dyDescent="0.3">
      <c r="A17" s="23"/>
      <c r="B17" s="23"/>
      <c r="C17" s="2"/>
      <c r="D17" s="2"/>
    </row>
    <row r="18" spans="1:9" ht="15.75" x14ac:dyDescent="0.25">
      <c r="A18" s="24" t="s">
        <v>93</v>
      </c>
      <c r="B18" s="25" t="s">
        <v>94</v>
      </c>
      <c r="C18" s="2"/>
      <c r="D18" s="2"/>
    </row>
    <row r="19" spans="1:9" ht="16.5" thickBot="1" x14ac:dyDescent="0.3">
      <c r="A19" s="26"/>
      <c r="B19" s="27" t="str">
        <f>IF(ISNUMBER(A19),B10/(LN(A19)/2.3026)*10,"")</f>
        <v/>
      </c>
      <c r="C19" s="2"/>
      <c r="D19" s="2"/>
    </row>
    <row r="20" spans="1:9" ht="16.5" thickBot="1" x14ac:dyDescent="0.3">
      <c r="A20" s="23"/>
      <c r="B20" s="23"/>
      <c r="C20" s="2"/>
      <c r="D20" s="2"/>
    </row>
    <row r="21" spans="1:9" ht="15.75" x14ac:dyDescent="0.25">
      <c r="A21" s="24" t="s">
        <v>41</v>
      </c>
      <c r="B21" s="25" t="s">
        <v>63</v>
      </c>
      <c r="C21" s="2"/>
      <c r="D21" s="2"/>
    </row>
    <row r="22" spans="1:9" ht="16.5" thickBot="1" x14ac:dyDescent="0.3">
      <c r="A22" s="26"/>
      <c r="B22" s="27" t="str">
        <f>IF(ISNUMBER(B19),B19+A22,"")</f>
        <v/>
      </c>
      <c r="C22" s="2"/>
      <c r="D22" s="2"/>
      <c r="E22" s="174">
        <v>0</v>
      </c>
      <c r="F22" s="174">
        <v>1</v>
      </c>
      <c r="G22" s="174">
        <v>2</v>
      </c>
      <c r="H22" s="174">
        <v>3</v>
      </c>
      <c r="I22" s="174">
        <v>4</v>
      </c>
    </row>
    <row r="23" spans="1:9" ht="15.75" x14ac:dyDescent="0.25">
      <c r="A23" s="13"/>
      <c r="B23" s="13"/>
      <c r="E23" s="174"/>
      <c r="F23" s="174"/>
      <c r="G23" s="174"/>
      <c r="H23" s="174"/>
      <c r="I23" s="174"/>
    </row>
    <row r="24" spans="1:9" ht="16.5" thickBot="1" x14ac:dyDescent="0.3">
      <c r="A24" s="28" t="str">
        <f>IF(A22&lt;&gt;0,"Transferability Analysis:","")</f>
        <v/>
      </c>
      <c r="B24" s="13"/>
      <c r="E24" s="174"/>
      <c r="F24" s="174"/>
      <c r="G24" s="174"/>
      <c r="H24" s="174"/>
      <c r="I24" s="174"/>
    </row>
    <row r="25" spans="1:9" ht="15.75" x14ac:dyDescent="0.25">
      <c r="A25" s="29" t="str">
        <f>IF(A22&lt;&gt;0,"transferability score:","")</f>
        <v/>
      </c>
      <c r="B25" s="13"/>
      <c r="E25" s="174"/>
      <c r="F25" s="174"/>
      <c r="G25" s="174"/>
      <c r="H25" s="174"/>
      <c r="I25" s="174"/>
    </row>
    <row r="26" spans="1:9" ht="16.5" thickBot="1" x14ac:dyDescent="0.3">
      <c r="A26" s="30"/>
      <c r="B26" s="13"/>
      <c r="E26" s="174">
        <v>0</v>
      </c>
      <c r="F26" s="174">
        <v>1</v>
      </c>
      <c r="G26" s="174">
        <v>2</v>
      </c>
      <c r="H26" s="174">
        <v>3</v>
      </c>
      <c r="I26" s="174">
        <v>4</v>
      </c>
    </row>
    <row r="27" spans="1:9" ht="15.75" x14ac:dyDescent="0.25">
      <c r="A27" s="13"/>
      <c r="B27" s="31" t="s">
        <v>42</v>
      </c>
    </row>
    <row r="28" spans="1:9" ht="16.5" thickBot="1" x14ac:dyDescent="0.3">
      <c r="A28" s="13"/>
      <c r="B28" s="32" t="str">
        <f>IF(A22=0,"no innovativeness",IF(ISNUMBER(B22),B22+A26,""))</f>
        <v>no innovativeness</v>
      </c>
    </row>
  </sheetData>
  <conditionalFormatting sqref="A26">
    <cfRule type="expression" dxfId="12" priority="5">
      <formula>IF(A22=0,FALSE,TRUE)</formula>
    </cfRule>
  </conditionalFormatting>
  <conditionalFormatting sqref="B11:B15">
    <cfRule type="expression" dxfId="11" priority="3">
      <formula>IF($A$10="Custom",TRUE,FALSE)</formula>
    </cfRule>
  </conditionalFormatting>
  <dataValidations count="3">
    <dataValidation type="list" allowBlank="1" showInputMessage="1" showErrorMessage="1" sqref="A10">
      <formula1>$M$1:$M$7</formula1>
    </dataValidation>
    <dataValidation type="list" allowBlank="1" showInputMessage="1" showErrorMessage="1" sqref="A22">
      <formula1>$D$22:$I$22</formula1>
    </dataValidation>
    <dataValidation type="list" allowBlank="1" showInputMessage="1" showErrorMessage="1" sqref="A26">
      <formula1>$D$26:$I$26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O15"/>
  <sheetViews>
    <sheetView showGridLines="0" zoomScale="70" zoomScaleNormal="70" workbookViewId="0">
      <selection activeCell="F1" sqref="F1"/>
    </sheetView>
  </sheetViews>
  <sheetFormatPr baseColWidth="10" defaultColWidth="9.140625" defaultRowHeight="18.75" outlineLevelCol="1" x14ac:dyDescent="0.3"/>
  <cols>
    <col min="1" max="1" width="43.5703125" style="33" customWidth="1"/>
    <col min="2" max="2" width="42" style="33" bestFit="1" customWidth="1"/>
    <col min="3" max="3" width="17.42578125" style="33" customWidth="1"/>
    <col min="4" max="4" width="34.140625" style="33" bestFit="1" customWidth="1"/>
    <col min="5" max="5" width="20.28515625" style="33" bestFit="1" customWidth="1"/>
    <col min="6" max="6" width="9" style="33" customWidth="1"/>
    <col min="7" max="7" width="10.85546875" style="33" customWidth="1"/>
    <col min="8" max="8" width="29.140625" style="33" bestFit="1" customWidth="1"/>
    <col min="9" max="9" width="31.140625" style="33" bestFit="1" customWidth="1"/>
    <col min="10" max="10" width="31.5703125" style="33" bestFit="1" customWidth="1"/>
    <col min="11" max="11" width="11.5703125" style="33" bestFit="1" customWidth="1"/>
    <col min="12" max="12" width="9.140625" style="33"/>
    <col min="13" max="14" width="16.85546875" style="33" hidden="1" customWidth="1" outlineLevel="1"/>
    <col min="15" max="15" width="16.85546875" style="33" customWidth="1" collapsed="1"/>
    <col min="16" max="16384" width="9.140625" style="33"/>
  </cols>
  <sheetData>
    <row r="1" spans="1:14" ht="19.5" thickBot="1" x14ac:dyDescent="0.35">
      <c r="D1" s="182" t="s">
        <v>62</v>
      </c>
      <c r="E1" s="34"/>
      <c r="F1" s="35" t="s">
        <v>12</v>
      </c>
      <c r="G1" s="34"/>
      <c r="H1" s="34" t="str">
        <f>IF(F1="yes","Ruduction in Co2 weight","")</f>
        <v/>
      </c>
      <c r="I1" s="34" t="str">
        <f>IF(F1="yes","Reduction in waste weight","")</f>
        <v/>
      </c>
      <c r="J1" s="36"/>
      <c r="M1" s="37" t="s">
        <v>11</v>
      </c>
      <c r="N1" s="37" t="s">
        <v>12</v>
      </c>
    </row>
    <row r="2" spans="1:14" ht="19.5" thickBot="1" x14ac:dyDescent="0.35">
      <c r="A2" s="38" t="s">
        <v>8</v>
      </c>
      <c r="B2" s="39">
        <f>IF(F1="no",(0.8*MAX(E6,E7)+0.2*((SUM(E6,E7)-MAX(E6,E7)))),(E6*H2+E7*I2))</f>
        <v>0</v>
      </c>
      <c r="D2" s="183"/>
      <c r="E2" s="40"/>
      <c r="F2" s="40"/>
      <c r="G2" s="40"/>
      <c r="H2" s="41"/>
      <c r="I2" s="41"/>
      <c r="J2" s="42" t="str">
        <f>IF(F1="yes",IF(SUM(H2:I2)=1,"custom weighing accepted","weighing must equal 1 in total"),"")</f>
        <v/>
      </c>
    </row>
    <row r="4" spans="1:14" ht="19.5" thickBot="1" x14ac:dyDescent="0.35">
      <c r="F4" s="43" t="s">
        <v>56</v>
      </c>
    </row>
    <row r="5" spans="1:14" ht="19.5" thickBot="1" x14ac:dyDescent="0.35">
      <c r="A5" s="44" t="s">
        <v>1</v>
      </c>
      <c r="B5" s="45" t="s">
        <v>0</v>
      </c>
      <c r="C5" s="45" t="s">
        <v>6</v>
      </c>
      <c r="D5" s="45" t="s">
        <v>3</v>
      </c>
      <c r="E5" s="45" t="s">
        <v>4</v>
      </c>
      <c r="F5" s="45">
        <v>1</v>
      </c>
      <c r="G5" s="45">
        <v>2</v>
      </c>
      <c r="H5" s="45">
        <v>3</v>
      </c>
      <c r="I5" s="45">
        <v>4</v>
      </c>
      <c r="J5" s="46">
        <v>5</v>
      </c>
    </row>
    <row r="6" spans="1:14" ht="58.5" thickBot="1" x14ac:dyDescent="0.35">
      <c r="A6" s="47" t="s">
        <v>107</v>
      </c>
      <c r="B6" s="48" t="s">
        <v>81</v>
      </c>
      <c r="C6" s="49" t="s">
        <v>14</v>
      </c>
      <c r="D6" s="50"/>
      <c r="E6" s="51">
        <f>IF(ISNUMBER(D6),IF(((LN(D6))/2.3026)&gt;=5,5,IF(((LN(D6))/2.3026)&lt;=1,0,((LN(D6))/2.3026))),0)</f>
        <v>0</v>
      </c>
      <c r="F6" s="52">
        <v>10</v>
      </c>
      <c r="G6" s="52">
        <v>100</v>
      </c>
      <c r="H6" s="52">
        <v>1000</v>
      </c>
      <c r="I6" s="52">
        <v>10000</v>
      </c>
      <c r="J6" s="53">
        <v>100000</v>
      </c>
    </row>
    <row r="7" spans="1:14" x14ac:dyDescent="0.3">
      <c r="A7" s="54" t="s">
        <v>5</v>
      </c>
      <c r="B7" s="55"/>
      <c r="C7" s="56" t="s">
        <v>64</v>
      </c>
      <c r="D7" s="57"/>
      <c r="E7" s="58">
        <f>MAX(E8:E10)</f>
        <v>0</v>
      </c>
      <c r="F7" s="59"/>
      <c r="G7" s="59"/>
      <c r="H7" s="59"/>
      <c r="I7" s="59"/>
      <c r="J7" s="60"/>
    </row>
    <row r="8" spans="1:14" x14ac:dyDescent="0.3">
      <c r="A8" s="61"/>
      <c r="B8" s="62"/>
      <c r="C8" s="62" t="s">
        <v>7</v>
      </c>
      <c r="D8" s="63"/>
      <c r="E8" s="64">
        <f>'TOOL waste reduction calc'!D2</f>
        <v>0</v>
      </c>
      <c r="F8" s="62"/>
      <c r="G8" s="62"/>
      <c r="H8" s="62"/>
      <c r="I8" s="62"/>
      <c r="J8" s="65"/>
    </row>
    <row r="9" spans="1:14" x14ac:dyDescent="0.3">
      <c r="A9" s="61"/>
      <c r="B9" s="62"/>
      <c r="C9" s="62" t="s">
        <v>55</v>
      </c>
      <c r="D9" s="63"/>
      <c r="E9" s="64">
        <f>'TOOL waste reduction calc'!D7</f>
        <v>0</v>
      </c>
      <c r="F9" s="66"/>
      <c r="G9" s="66"/>
      <c r="H9" s="66"/>
      <c r="I9" s="66"/>
      <c r="J9" s="67"/>
    </row>
    <row r="10" spans="1:14" x14ac:dyDescent="0.3">
      <c r="A10" s="61"/>
      <c r="B10" s="68" t="s">
        <v>90</v>
      </c>
      <c r="C10" s="62" t="s">
        <v>91</v>
      </c>
      <c r="D10" s="63"/>
      <c r="E10" s="64">
        <f>IF(ISNUMBER(D10),IF(((LN(D10/100))/2.3026)&gt;=5,5,IF(((LN(D10/100))/2.3026)&lt;=1,0,((LN(D10/100))/2.3026))),0)</f>
        <v>0</v>
      </c>
      <c r="F10" s="66">
        <v>1000</v>
      </c>
      <c r="G10" s="66">
        <v>10000</v>
      </c>
      <c r="H10" s="66">
        <v>100000</v>
      </c>
      <c r="I10" s="66">
        <v>1000000</v>
      </c>
      <c r="J10" s="67">
        <v>10000000</v>
      </c>
    </row>
    <row r="11" spans="1:14" ht="19.5" thickBot="1" x14ac:dyDescent="0.35">
      <c r="A11" s="69"/>
      <c r="B11" s="40"/>
      <c r="C11" s="40"/>
      <c r="D11" s="70"/>
      <c r="E11" s="40"/>
      <c r="F11" s="40"/>
      <c r="G11" s="40"/>
      <c r="H11" s="40"/>
      <c r="I11" s="40"/>
      <c r="J11" s="42"/>
    </row>
    <row r="12" spans="1:14" ht="19.5" thickBot="1" x14ac:dyDescent="0.35"/>
    <row r="13" spans="1:14" ht="19.5" thickBot="1" x14ac:dyDescent="0.35">
      <c r="D13" s="71" t="s">
        <v>99</v>
      </c>
      <c r="E13" s="72" t="s">
        <v>100</v>
      </c>
      <c r="F13" s="72" t="s">
        <v>101</v>
      </c>
      <c r="G13" s="73" t="s">
        <v>102</v>
      </c>
    </row>
    <row r="14" spans="1:14" ht="27.75" customHeight="1" thickBot="1" x14ac:dyDescent="0.35">
      <c r="D14" s="176"/>
      <c r="E14" s="74">
        <f>+D14*365</f>
        <v>0</v>
      </c>
      <c r="F14" s="175"/>
      <c r="G14" s="75">
        <f>+F14*E14</f>
        <v>0</v>
      </c>
    </row>
    <row r="15" spans="1:14" x14ac:dyDescent="0.3">
      <c r="A15" s="76"/>
    </row>
  </sheetData>
  <mergeCells count="1">
    <mergeCell ref="D1:D2"/>
  </mergeCells>
  <conditionalFormatting sqref="H2:I2">
    <cfRule type="expression" dxfId="10" priority="1">
      <formula>IF($F$1="yes",TRUE,FALSE)</formula>
    </cfRule>
  </conditionalFormatting>
  <dataValidations count="1">
    <dataValidation type="list" allowBlank="1" showInputMessage="1" showErrorMessage="1" sqref="F1">
      <formula1>$M$1:$N$1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T19"/>
  <sheetViews>
    <sheetView showGridLines="0" zoomScale="55" zoomScaleNormal="55" workbookViewId="0">
      <selection activeCell="C2" sqref="C2"/>
    </sheetView>
  </sheetViews>
  <sheetFormatPr baseColWidth="10" defaultColWidth="9.140625" defaultRowHeight="18.75" outlineLevelCol="1" x14ac:dyDescent="0.3"/>
  <cols>
    <col min="1" max="1" width="40.42578125" style="33" bestFit="1" customWidth="1"/>
    <col min="2" max="2" width="15.7109375" style="33" bestFit="1" customWidth="1"/>
    <col min="3" max="3" width="17.5703125" style="33" bestFit="1" customWidth="1"/>
    <col min="4" max="4" width="37.7109375" style="33" bestFit="1" customWidth="1"/>
    <col min="5" max="5" width="8.7109375" style="33" bestFit="1" customWidth="1"/>
    <col min="6" max="6" width="23" style="33" customWidth="1"/>
    <col min="7" max="7" width="25.28515625" style="33" customWidth="1"/>
    <col min="8" max="8" width="26.28515625" style="33" bestFit="1" customWidth="1"/>
    <col min="9" max="9" width="27.140625" style="33" customWidth="1"/>
    <col min="10" max="10" width="33.42578125" style="33" bestFit="1" customWidth="1"/>
    <col min="11" max="12" width="31.5703125" style="33" bestFit="1" customWidth="1"/>
    <col min="13" max="13" width="9.140625" style="33" customWidth="1"/>
    <col min="14" max="15" width="9.140625" style="33" hidden="1" customWidth="1" outlineLevel="1"/>
    <col min="16" max="19" width="9.42578125" style="33" hidden="1" customWidth="1" outlineLevel="1"/>
    <col min="20" max="20" width="9.140625" style="33" collapsed="1"/>
    <col min="21" max="16384" width="9.140625" style="33"/>
  </cols>
  <sheetData>
    <row r="1" spans="1:19" ht="19.5" thickBot="1" x14ac:dyDescent="0.35">
      <c r="D1" s="182" t="s">
        <v>62</v>
      </c>
      <c r="E1" s="34"/>
      <c r="F1" s="35" t="s">
        <v>12</v>
      </c>
      <c r="G1" s="34"/>
      <c r="H1" s="34" t="str">
        <f>IF(F1="yes","Port-city dialogue weight","")</f>
        <v/>
      </c>
      <c r="I1" s="34" t="str">
        <f>IF(F1="yes","Land use weight","")</f>
        <v/>
      </c>
      <c r="J1" s="34" t="str">
        <f>IF(F1="yes","Reduction in emissions weight","")</f>
        <v/>
      </c>
      <c r="K1" s="34" t="str">
        <f>IF(F1="yes","Port-related job education weight","")</f>
        <v/>
      </c>
      <c r="L1" s="36"/>
      <c r="N1" s="37" t="s">
        <v>11</v>
      </c>
      <c r="O1" s="37" t="s">
        <v>12</v>
      </c>
    </row>
    <row r="2" spans="1:19" ht="19.5" thickBot="1" x14ac:dyDescent="0.35">
      <c r="A2" s="38" t="s">
        <v>15</v>
      </c>
      <c r="B2" s="77">
        <f>IF(F1="no",(0.8*MAX(E5,E7,E11)+0.2*((SUM(E5,E6,E7,E11)-MAX(E5,E6,E11,E7))/2)),E5*H2+E6*I2+E7*J2+E11*K2)</f>
        <v>0</v>
      </c>
      <c r="D2" s="183"/>
      <c r="E2" s="40"/>
      <c r="F2" s="40"/>
      <c r="G2" s="40"/>
      <c r="H2" s="41"/>
      <c r="I2" s="41"/>
      <c r="J2" s="41"/>
      <c r="K2" s="41"/>
      <c r="L2" s="42" t="str">
        <f>IF(F1="yes",IF(SUM(H2:J2)=1,"custom weighing accepted","weighing must equal 1 in total"),"")</f>
        <v/>
      </c>
      <c r="O2" s="37">
        <v>1</v>
      </c>
      <c r="P2" s="37">
        <v>2</v>
      </c>
      <c r="Q2" s="37">
        <v>3</v>
      </c>
      <c r="R2" s="37">
        <v>4</v>
      </c>
      <c r="S2" s="37">
        <v>5</v>
      </c>
    </row>
    <row r="3" spans="1:19" ht="19.5" thickBot="1" x14ac:dyDescent="0.35">
      <c r="N3" s="37" t="s">
        <v>74</v>
      </c>
      <c r="O3" s="37">
        <v>150</v>
      </c>
      <c r="P3" s="37">
        <v>1500</v>
      </c>
      <c r="Q3" s="37">
        <v>15000</v>
      </c>
      <c r="R3" s="37">
        <v>150000</v>
      </c>
      <c r="S3" s="37">
        <v>1500000</v>
      </c>
    </row>
    <row r="4" spans="1:19" ht="19.5" thickBot="1" x14ac:dyDescent="0.35">
      <c r="A4" s="44" t="s">
        <v>1</v>
      </c>
      <c r="B4" s="45" t="s">
        <v>0</v>
      </c>
      <c r="C4" s="45" t="s">
        <v>6</v>
      </c>
      <c r="D4" s="45" t="s">
        <v>3</v>
      </c>
      <c r="E4" s="45" t="s">
        <v>4</v>
      </c>
      <c r="F4" s="78">
        <v>1</v>
      </c>
      <c r="G4" s="78">
        <v>2</v>
      </c>
      <c r="H4" s="78">
        <v>3</v>
      </c>
      <c r="I4" s="78">
        <v>4</v>
      </c>
      <c r="J4" s="78">
        <v>5</v>
      </c>
      <c r="K4" s="79" t="s">
        <v>61</v>
      </c>
    </row>
    <row r="5" spans="1:19" ht="263.25" customHeight="1" thickBot="1" x14ac:dyDescent="0.35">
      <c r="A5" s="80" t="s">
        <v>21</v>
      </c>
      <c r="B5" s="81" t="s">
        <v>14</v>
      </c>
      <c r="C5" s="81" t="s">
        <v>14</v>
      </c>
      <c r="D5" s="82"/>
      <c r="E5" s="83">
        <f>D5</f>
        <v>0</v>
      </c>
      <c r="F5" s="84" t="s">
        <v>108</v>
      </c>
      <c r="G5" s="48" t="s">
        <v>109</v>
      </c>
      <c r="H5" s="48" t="s">
        <v>110</v>
      </c>
      <c r="I5" s="48" t="s">
        <v>111</v>
      </c>
      <c r="J5" s="84" t="s">
        <v>112</v>
      </c>
      <c r="K5" s="172"/>
    </row>
    <row r="6" spans="1:19" ht="38.25" thickBot="1" x14ac:dyDescent="0.35">
      <c r="A6" s="85" t="s">
        <v>75</v>
      </c>
      <c r="B6" s="86" t="s">
        <v>76</v>
      </c>
      <c r="C6" s="86" t="s">
        <v>14</v>
      </c>
      <c r="D6" s="87"/>
      <c r="E6" s="88">
        <f>IF(ISNUMBER(D6),IF(((LN(D6/15))/(2.3026))&gt;=5,5,IF(((LN(D6/15))/(2.3026))&lt;=1,0,((LN(D6/15))/(2.3026)))),0)</f>
        <v>0</v>
      </c>
      <c r="F6" s="89">
        <v>150</v>
      </c>
      <c r="G6" s="89">
        <v>1500</v>
      </c>
      <c r="H6" s="89">
        <v>15000</v>
      </c>
      <c r="I6" s="89">
        <v>150000</v>
      </c>
      <c r="J6" s="89">
        <v>1500000</v>
      </c>
      <c r="K6" s="90"/>
    </row>
    <row r="7" spans="1:19" ht="132" thickBot="1" x14ac:dyDescent="0.35">
      <c r="A7" s="80" t="s">
        <v>113</v>
      </c>
      <c r="B7" s="91" t="str">
        <f>IF(C7="noise","dB-reduction-coeff",IF(C7="NOx","kg",""))</f>
        <v/>
      </c>
      <c r="C7" s="91" t="s">
        <v>64</v>
      </c>
      <c r="D7" s="92"/>
      <c r="E7" s="93">
        <f>MAX(E8:E10)</f>
        <v>0</v>
      </c>
      <c r="F7" s="52"/>
      <c r="G7" s="52"/>
      <c r="H7" s="52"/>
      <c r="I7" s="52"/>
      <c r="J7" s="52"/>
      <c r="K7" s="94"/>
    </row>
    <row r="8" spans="1:19" ht="57" thickBot="1" x14ac:dyDescent="0.35">
      <c r="A8" s="80"/>
      <c r="B8" s="91"/>
      <c r="C8" s="91" t="s">
        <v>65</v>
      </c>
      <c r="D8" s="82"/>
      <c r="E8" s="95">
        <f>'TOOL emission-reduction-calc'!I2</f>
        <v>0</v>
      </c>
      <c r="F8" s="52"/>
      <c r="G8" s="52"/>
      <c r="H8" s="52"/>
      <c r="I8" s="52"/>
      <c r="J8" s="52"/>
      <c r="K8" s="94"/>
    </row>
    <row r="9" spans="1:19" ht="38.25" thickBot="1" x14ac:dyDescent="0.35">
      <c r="A9" s="80"/>
      <c r="B9" s="91"/>
      <c r="C9" s="91" t="s">
        <v>66</v>
      </c>
      <c r="D9" s="82"/>
      <c r="E9" s="95">
        <f>'TOOL emission-reduction-calc'!G12</f>
        <v>0</v>
      </c>
      <c r="F9" s="52"/>
      <c r="G9" s="52"/>
      <c r="H9" s="52"/>
      <c r="I9" s="52"/>
      <c r="J9" s="52"/>
      <c r="K9" s="94"/>
    </row>
    <row r="10" spans="1:19" ht="258.75" customHeight="1" thickBot="1" x14ac:dyDescent="0.35">
      <c r="A10" s="80"/>
      <c r="B10" s="91"/>
      <c r="C10" s="91" t="s">
        <v>84</v>
      </c>
      <c r="D10" s="82"/>
      <c r="E10" s="95">
        <f>D10</f>
        <v>0</v>
      </c>
      <c r="F10" s="96" t="s">
        <v>85</v>
      </c>
      <c r="G10" s="97" t="s">
        <v>86</v>
      </c>
      <c r="H10" s="97" t="s">
        <v>87</v>
      </c>
      <c r="I10" s="97" t="s">
        <v>88</v>
      </c>
      <c r="J10" s="97" t="s">
        <v>89</v>
      </c>
      <c r="K10" s="94"/>
    </row>
    <row r="11" spans="1:19" ht="207" thickBot="1" x14ac:dyDescent="0.35">
      <c r="A11" s="80" t="s">
        <v>19</v>
      </c>
      <c r="B11" s="81" t="s">
        <v>14</v>
      </c>
      <c r="C11" s="81" t="s">
        <v>14</v>
      </c>
      <c r="D11" s="82"/>
      <c r="E11" s="83">
        <f>D11</f>
        <v>0</v>
      </c>
      <c r="F11" s="84" t="s">
        <v>114</v>
      </c>
      <c r="G11" s="48" t="s">
        <v>115</v>
      </c>
      <c r="H11" s="84" t="s">
        <v>116</v>
      </c>
      <c r="I11" s="48" t="s">
        <v>117</v>
      </c>
      <c r="J11" s="48" t="s">
        <v>118</v>
      </c>
      <c r="K11" s="173"/>
    </row>
    <row r="15" spans="1:19" x14ac:dyDescent="0.3">
      <c r="N15" s="99" t="s">
        <v>56</v>
      </c>
    </row>
    <row r="16" spans="1:19" x14ac:dyDescent="0.3">
      <c r="O16" s="100">
        <v>1</v>
      </c>
      <c r="P16" s="100">
        <v>2</v>
      </c>
      <c r="Q16" s="100">
        <v>3</v>
      </c>
      <c r="R16" s="100">
        <v>4</v>
      </c>
      <c r="S16" s="100">
        <v>5</v>
      </c>
    </row>
    <row r="17" spans="14:20" x14ac:dyDescent="0.3">
      <c r="N17" s="33" t="s">
        <v>20</v>
      </c>
      <c r="O17" s="33">
        <v>10</v>
      </c>
      <c r="P17" s="101">
        <v>12.302585000000001</v>
      </c>
      <c r="Q17" s="101">
        <v>14.605170000000001</v>
      </c>
      <c r="R17" s="101">
        <v>16.907755000000002</v>
      </c>
      <c r="S17" s="101">
        <v>19.210340000000002</v>
      </c>
    </row>
    <row r="18" spans="14:20" x14ac:dyDescent="0.3">
      <c r="N18" s="33" t="s">
        <v>27</v>
      </c>
      <c r="O18" s="100">
        <v>10</v>
      </c>
      <c r="P18" s="100">
        <v>100</v>
      </c>
      <c r="Q18" s="100">
        <v>1000</v>
      </c>
      <c r="R18" s="100">
        <v>10000</v>
      </c>
      <c r="S18" s="100">
        <v>100000</v>
      </c>
      <c r="T18" s="33" t="s">
        <v>60</v>
      </c>
    </row>
    <row r="19" spans="14:20" x14ac:dyDescent="0.3">
      <c r="N19" s="33" t="s">
        <v>59</v>
      </c>
      <c r="O19" s="33" t="s">
        <v>45</v>
      </c>
      <c r="P19" s="33" t="s">
        <v>45</v>
      </c>
      <c r="Q19" s="33" t="s">
        <v>45</v>
      </c>
      <c r="R19" s="33" t="s">
        <v>45</v>
      </c>
      <c r="S19" s="33" t="s">
        <v>45</v>
      </c>
    </row>
  </sheetData>
  <mergeCells count="1">
    <mergeCell ref="D1:D2"/>
  </mergeCells>
  <conditionalFormatting sqref="H2:J2">
    <cfRule type="expression" dxfId="9" priority="2">
      <formula>IF($F$1="yes",TRUE,FALSE)</formula>
    </cfRule>
  </conditionalFormatting>
  <conditionalFormatting sqref="K2">
    <cfRule type="expression" dxfId="8" priority="1">
      <formula>IF($F$1="yes",TRUE,FALSE)</formula>
    </cfRule>
  </conditionalFormatting>
  <dataValidations count="2">
    <dataValidation type="list" allowBlank="1" showInputMessage="1" showErrorMessage="1" sqref="D10:D11 D5">
      <formula1>$F$4:$J$4</formula1>
    </dataValidation>
    <dataValidation type="list" allowBlank="1" showInputMessage="1" showErrorMessage="1" sqref="F1">
      <formula1>$N$1:$O$1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Q11"/>
  <sheetViews>
    <sheetView showGridLines="0" zoomScale="50" zoomScaleNormal="50" workbookViewId="0">
      <selection activeCell="C2" sqref="C2"/>
    </sheetView>
  </sheetViews>
  <sheetFormatPr baseColWidth="10" defaultColWidth="9.140625" defaultRowHeight="18.75" outlineLevelCol="1" x14ac:dyDescent="0.3"/>
  <cols>
    <col min="1" max="1" width="57.85546875" style="33" bestFit="1" customWidth="1"/>
    <col min="2" max="2" width="20.42578125" style="33" bestFit="1" customWidth="1"/>
    <col min="3" max="3" width="7.42578125" style="33" bestFit="1" customWidth="1"/>
    <col min="4" max="4" width="39.140625" style="33" bestFit="1" customWidth="1"/>
    <col min="5" max="5" width="25.42578125" style="33" customWidth="1"/>
    <col min="6" max="6" width="29.7109375" style="33" customWidth="1"/>
    <col min="7" max="7" width="30.85546875" style="33" customWidth="1"/>
    <col min="8" max="8" width="28.85546875" style="33" customWidth="1"/>
    <col min="9" max="9" width="29.7109375" style="33" customWidth="1"/>
    <col min="10" max="10" width="32.5703125" style="33" bestFit="1" customWidth="1"/>
    <col min="11" max="11" width="30.140625" style="33" bestFit="1" customWidth="1"/>
    <col min="12" max="12" width="27" style="33" bestFit="1" customWidth="1"/>
    <col min="13" max="13" width="30.140625" style="33" bestFit="1" customWidth="1"/>
    <col min="14" max="14" width="9.140625" style="33"/>
    <col min="15" max="15" width="13" style="33" hidden="1" customWidth="1" outlineLevel="1"/>
    <col min="16" max="16" width="5" style="33" hidden="1" customWidth="1" outlineLevel="1"/>
    <col min="17" max="17" width="9.140625" style="33" collapsed="1"/>
    <col min="18" max="16384" width="9.140625" style="33"/>
  </cols>
  <sheetData>
    <row r="1" spans="1:16" ht="19.5" thickBot="1" x14ac:dyDescent="0.35">
      <c r="D1" s="182" t="s">
        <v>62</v>
      </c>
      <c r="E1" s="34"/>
      <c r="F1" s="35" t="s">
        <v>12</v>
      </c>
      <c r="G1" s="34"/>
      <c r="H1" s="34" t="str">
        <f>IF(F1="yes","Port governance weight","")</f>
        <v/>
      </c>
      <c r="I1" s="34" t="str">
        <f>IF(F1="yes","Gender equality weight","")</f>
        <v/>
      </c>
      <c r="J1" s="34" t="str">
        <f>IF(F1="yes","Equal opportunity weight","")</f>
        <v/>
      </c>
      <c r="K1" s="34" t="str">
        <f>IF(F1="yes","Fight corruption weight","")</f>
        <v/>
      </c>
      <c r="L1" s="34" t="str">
        <f>IF(F1="yes","Green governance weight","")</f>
        <v/>
      </c>
      <c r="M1" s="36"/>
      <c r="O1" s="37" t="s">
        <v>11</v>
      </c>
      <c r="P1" s="37" t="s">
        <v>12</v>
      </c>
    </row>
    <row r="2" spans="1:16" ht="19.5" thickBot="1" x14ac:dyDescent="0.35">
      <c r="A2" s="38" t="s">
        <v>9</v>
      </c>
      <c r="B2" s="180">
        <f>IF(F1="no",(0.8*MAX(C5:C9)+0.2*((SUM(C5:C9)-MAX(C5:C9))/4)),H2*C5+I2+C6+J2*C7+K2*C8+L2*C9)</f>
        <v>0</v>
      </c>
      <c r="D2" s="183"/>
      <c r="E2" s="40"/>
      <c r="F2" s="40"/>
      <c r="G2" s="40"/>
      <c r="H2" s="41"/>
      <c r="I2" s="41"/>
      <c r="J2" s="41"/>
      <c r="K2" s="41"/>
      <c r="L2" s="41"/>
      <c r="M2" s="42" t="str">
        <f>IF(F1="yes",IF(SUM(H2:L2)=1,"custom weighing accepted","weighing must equal 1 in total"),"")</f>
        <v/>
      </c>
    </row>
    <row r="3" spans="1:16" ht="19.5" thickBot="1" x14ac:dyDescent="0.35">
      <c r="O3" s="33" t="s">
        <v>57</v>
      </c>
    </row>
    <row r="4" spans="1:16" ht="19.5" thickBot="1" x14ac:dyDescent="0.35">
      <c r="A4" s="44" t="s">
        <v>1</v>
      </c>
      <c r="B4" s="45" t="s">
        <v>3</v>
      </c>
      <c r="C4" s="45" t="s">
        <v>4</v>
      </c>
      <c r="D4" s="78">
        <v>1</v>
      </c>
      <c r="E4" s="78">
        <v>2</v>
      </c>
      <c r="F4" s="78">
        <v>3</v>
      </c>
      <c r="G4" s="78">
        <v>4</v>
      </c>
      <c r="H4" s="78">
        <v>5</v>
      </c>
      <c r="I4" s="79" t="s">
        <v>61</v>
      </c>
    </row>
    <row r="5" spans="1:16" ht="234" customHeight="1" thickBot="1" x14ac:dyDescent="0.35">
      <c r="A5" s="102" t="s">
        <v>10</v>
      </c>
      <c r="B5" s="82"/>
      <c r="C5" s="103">
        <f>B5</f>
        <v>0</v>
      </c>
      <c r="D5" s="48" t="s">
        <v>119</v>
      </c>
      <c r="E5" s="48" t="s">
        <v>120</v>
      </c>
      <c r="F5" s="48" t="s">
        <v>121</v>
      </c>
      <c r="G5" s="48" t="s">
        <v>122</v>
      </c>
      <c r="H5" s="48" t="s">
        <v>123</v>
      </c>
      <c r="I5" s="98"/>
    </row>
    <row r="6" spans="1:16" ht="304.5" customHeight="1" thickBot="1" x14ac:dyDescent="0.35">
      <c r="A6" s="104" t="s">
        <v>18</v>
      </c>
      <c r="B6" s="82"/>
      <c r="C6" s="103">
        <f>B6</f>
        <v>0</v>
      </c>
      <c r="D6" s="48" t="s">
        <v>124</v>
      </c>
      <c r="E6" s="48" t="s">
        <v>125</v>
      </c>
      <c r="F6" s="48" t="s">
        <v>126</v>
      </c>
      <c r="G6" s="48" t="s">
        <v>127</v>
      </c>
      <c r="H6" s="48" t="s">
        <v>128</v>
      </c>
      <c r="I6" s="105"/>
    </row>
    <row r="7" spans="1:16" ht="57" thickBot="1" x14ac:dyDescent="0.35">
      <c r="A7" s="106" t="s">
        <v>31</v>
      </c>
      <c r="B7" s="82"/>
      <c r="C7" s="107" t="str">
        <f>IF(B7="yes",5,"0")</f>
        <v>0</v>
      </c>
      <c r="D7" s="108"/>
      <c r="E7" s="109"/>
      <c r="F7" s="109"/>
      <c r="G7" s="109"/>
      <c r="H7" s="108"/>
      <c r="I7" s="110"/>
    </row>
    <row r="8" spans="1:16" ht="295.5" customHeight="1" thickBot="1" x14ac:dyDescent="0.35">
      <c r="A8" s="102" t="s">
        <v>13</v>
      </c>
      <c r="B8" s="82"/>
      <c r="C8" s="103">
        <f>B8</f>
        <v>0</v>
      </c>
      <c r="D8" s="48" t="s">
        <v>129</v>
      </c>
      <c r="E8" s="48" t="s">
        <v>130</v>
      </c>
      <c r="F8" s="84" t="s">
        <v>131</v>
      </c>
      <c r="G8" s="48" t="s">
        <v>132</v>
      </c>
      <c r="H8" s="48" t="s">
        <v>133</v>
      </c>
      <c r="I8" s="111"/>
    </row>
    <row r="9" spans="1:16" ht="38.25" thickBot="1" x14ac:dyDescent="0.35">
      <c r="A9" s="104" t="s">
        <v>32</v>
      </c>
      <c r="B9" s="82"/>
      <c r="C9" s="107" t="str">
        <f>IF(B9="yes",5,"0")</f>
        <v>0</v>
      </c>
      <c r="D9" s="48"/>
      <c r="E9" s="49"/>
      <c r="F9" s="49"/>
      <c r="G9" s="49"/>
      <c r="H9" s="48"/>
      <c r="I9" s="112"/>
      <c r="O9" s="37" t="s">
        <v>12</v>
      </c>
      <c r="P9" s="37" t="s">
        <v>11</v>
      </c>
    </row>
    <row r="10" spans="1:16" ht="198" customHeight="1" x14ac:dyDescent="0.3"/>
    <row r="11" spans="1:16" ht="76.5" customHeight="1" x14ac:dyDescent="0.3">
      <c r="O11" s="37" t="s">
        <v>12</v>
      </c>
      <c r="P11" s="37" t="s">
        <v>11</v>
      </c>
    </row>
  </sheetData>
  <mergeCells count="1">
    <mergeCell ref="D1:D2"/>
  </mergeCells>
  <conditionalFormatting sqref="H2">
    <cfRule type="expression" dxfId="7" priority="5">
      <formula>IF($F$1="yes",TRUE,FALSE)</formula>
    </cfRule>
  </conditionalFormatting>
  <conditionalFormatting sqref="I2">
    <cfRule type="expression" dxfId="6" priority="4">
      <formula>IF($F$1="yes",TRUE,FALSE)</formula>
    </cfRule>
  </conditionalFormatting>
  <conditionalFormatting sqref="J2">
    <cfRule type="expression" dxfId="5" priority="3">
      <formula>IF($F$1="yes",TRUE,FALSE)</formula>
    </cfRule>
  </conditionalFormatting>
  <conditionalFormatting sqref="K2">
    <cfRule type="expression" dxfId="4" priority="2">
      <formula>IF($F$1="yes",TRUE,FALSE)</formula>
    </cfRule>
  </conditionalFormatting>
  <conditionalFormatting sqref="L2">
    <cfRule type="expression" dxfId="3" priority="1">
      <formula>IF($F$1="yes",TRUE,FALSE)</formula>
    </cfRule>
  </conditionalFormatting>
  <dataValidations count="4">
    <dataValidation type="list" allowBlank="1" showInputMessage="1" showErrorMessage="1" sqref="B8 B5:B6">
      <formula1>$D$4:$H$4</formula1>
    </dataValidation>
    <dataValidation type="list" allowBlank="1" showInputMessage="1" showErrorMessage="1" sqref="F1">
      <formula1>$O$1:$P$1</formula1>
    </dataValidation>
    <dataValidation type="list" allowBlank="1" showInputMessage="1" showErrorMessage="1" sqref="B9">
      <formula1>$O$11:$P$11</formula1>
    </dataValidation>
    <dataValidation type="list" allowBlank="1" showInputMessage="1" showErrorMessage="1" sqref="B7">
      <formula1>$O$9:$P$9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S60"/>
  <sheetViews>
    <sheetView showGridLines="0" zoomScale="62" zoomScaleNormal="62" workbookViewId="0">
      <selection activeCell="C2" sqref="C2"/>
    </sheetView>
  </sheetViews>
  <sheetFormatPr baseColWidth="10" defaultColWidth="9.140625" defaultRowHeight="18.75" outlineLevelCol="1" x14ac:dyDescent="0.3"/>
  <cols>
    <col min="1" max="1" width="53.7109375" style="33" bestFit="1" customWidth="1"/>
    <col min="2" max="2" width="17.5703125" style="33" bestFit="1" customWidth="1"/>
    <col min="3" max="3" width="26.140625" style="33" bestFit="1" customWidth="1"/>
    <col min="4" max="4" width="45.140625" style="33" bestFit="1" customWidth="1"/>
    <col min="5" max="5" width="21.7109375" style="33" customWidth="1"/>
    <col min="6" max="6" width="24.140625" style="33" customWidth="1"/>
    <col min="7" max="7" width="28.7109375" style="33" customWidth="1"/>
    <col min="8" max="8" width="38.140625" style="33" customWidth="1"/>
    <col min="9" max="9" width="33.140625" style="33" customWidth="1"/>
    <col min="10" max="10" width="38" style="33" bestFit="1" customWidth="1"/>
    <col min="11" max="11" width="31.5703125" style="33" bestFit="1" customWidth="1"/>
    <col min="12" max="12" width="9.140625" style="33"/>
    <col min="13" max="13" width="9.140625" style="33" hidden="1" customWidth="1" outlineLevel="1"/>
    <col min="14" max="16" width="9.28515625" style="33" hidden="1" customWidth="1" outlineLevel="1"/>
    <col min="17" max="17" width="11.140625" style="33" hidden="1" customWidth="1" outlineLevel="1"/>
    <col min="18" max="18" width="16.28515625" style="33" hidden="1" customWidth="1" outlineLevel="1"/>
    <col min="19" max="19" width="9.140625" style="33" collapsed="1"/>
    <col min="20" max="16384" width="9.140625" style="33"/>
  </cols>
  <sheetData>
    <row r="1" spans="1:18" ht="19.5" thickBot="1" x14ac:dyDescent="0.35">
      <c r="D1" s="182" t="s">
        <v>62</v>
      </c>
      <c r="E1" s="34"/>
      <c r="F1" s="35" t="s">
        <v>12</v>
      </c>
      <c r="G1" s="34"/>
      <c r="H1" s="34" t="str">
        <f>IF(F1="yes","Economic growth weight","")</f>
        <v/>
      </c>
      <c r="I1" s="34" t="str">
        <f>IF(F1="yes","Higher productivity weight","")</f>
        <v/>
      </c>
      <c r="J1" s="34" t="str">
        <f>IF(F1="yes","Resilience weight","")</f>
        <v/>
      </c>
      <c r="K1" s="36"/>
      <c r="M1" s="37" t="s">
        <v>11</v>
      </c>
      <c r="N1" s="37" t="s">
        <v>12</v>
      </c>
    </row>
    <row r="2" spans="1:18" ht="19.5" thickBot="1" x14ac:dyDescent="0.35">
      <c r="A2" s="38" t="s">
        <v>16</v>
      </c>
      <c r="B2" s="113">
        <f>IF(F1="no",(0.8*MAX(D5:D7)+0.2*((SUM(D5:D7)-MAX(D5:D7))/2)),H2*D5+I2*D6+J2*D7)</f>
        <v>0</v>
      </c>
      <c r="D2" s="183"/>
      <c r="E2" s="40"/>
      <c r="F2" s="40"/>
      <c r="G2" s="40"/>
      <c r="H2" s="41"/>
      <c r="I2" s="41"/>
      <c r="J2" s="41"/>
      <c r="K2" s="42" t="str">
        <f>IF(F1="yes",IF(SUM(H2:J2)=1,"custom weighing accepted","weighing must equal 1 in total"),"")</f>
        <v/>
      </c>
    </row>
    <row r="3" spans="1:18" ht="19.5" thickBot="1" x14ac:dyDescent="0.35"/>
    <row r="4" spans="1:18" ht="19.5" thickBot="1" x14ac:dyDescent="0.35">
      <c r="A4" s="114" t="s">
        <v>1</v>
      </c>
      <c r="B4" s="115" t="s">
        <v>0</v>
      </c>
      <c r="C4" s="115" t="s">
        <v>3</v>
      </c>
      <c r="D4" s="115" t="s">
        <v>4</v>
      </c>
      <c r="E4" s="116">
        <v>1</v>
      </c>
      <c r="F4" s="116">
        <v>2</v>
      </c>
      <c r="G4" s="116">
        <v>3</v>
      </c>
      <c r="H4" s="116">
        <v>4</v>
      </c>
      <c r="I4" s="116">
        <v>5</v>
      </c>
      <c r="J4" s="117" t="s">
        <v>61</v>
      </c>
    </row>
    <row r="5" spans="1:18" ht="57" thickBot="1" x14ac:dyDescent="0.35">
      <c r="A5" s="106" t="s">
        <v>25</v>
      </c>
      <c r="B5" s="118"/>
      <c r="C5" s="50"/>
      <c r="D5" s="179">
        <f>IF(B5="",0,IF(B5="teu",IF(ISNUMBER(C5),IF(((LN(C5/100))/2.3026)&gt;=5,5,IF(((LN(C5/100))/2.3026)&lt;=1,0,((LN(C5/100))/2.3026))),0),IF(B5="tons",IF(ISNUMBER(C5),IF(((LN(C5/1000))/2.3026)&gt;=5,5,IF(((LN(C5/1000))/2.3026)&lt;=1,0,((LN(C5/1000))/2.3026))),0))))</f>
        <v>0</v>
      </c>
      <c r="E5" s="119" t="str">
        <f>IF(ISTEXT($B$5),INDEX($N$7:$R$8,MATCH($B$5,$M$7:$M$8,0),MATCH(E$4,$N$6:$R$6,0)),"")</f>
        <v/>
      </c>
      <c r="F5" s="119" t="str">
        <f>IF(ISTEXT($B$5),INDEX($N$7:$R$8,MATCH($B$5,$M$7:$M$8,0),MATCH(F$4,$N$6:$R$6,0)),"")</f>
        <v/>
      </c>
      <c r="G5" s="119" t="str">
        <f>IF(ISTEXT($B$5),INDEX($N$7:$R$8,MATCH($B$5,$M$7:$M$8,0),MATCH(G$4,$N$6:$R$6,0)),"")</f>
        <v/>
      </c>
      <c r="H5" s="119" t="str">
        <f>IF(ISTEXT($B$5),INDEX($N$7:$R$8,MATCH($B$5,$M$7:$M$8,0),MATCH(H$4,$N$6:$R$6,0)),"")</f>
        <v/>
      </c>
      <c r="I5" s="119" t="str">
        <f>IF(ISTEXT($B$5),INDEX($N$7:$R$8,MATCH($B$5,$M$7:$M$8,0),MATCH(I$4,$N$6:$R$6,0)),"")</f>
        <v/>
      </c>
      <c r="J5" s="120"/>
      <c r="M5" s="99" t="s">
        <v>56</v>
      </c>
    </row>
    <row r="6" spans="1:18" ht="38.25" thickBot="1" x14ac:dyDescent="0.35">
      <c r="A6" s="104" t="s">
        <v>24</v>
      </c>
      <c r="B6" s="122" t="s">
        <v>44</v>
      </c>
      <c r="C6" s="123"/>
      <c r="D6" s="178">
        <f>IF(ISNUMBER(C6),IF(((LN(C6/10))/2.3026)&gt;=5,5,IF(((LN(C6/10))/2.3026)&lt;=1,0,((LN(C6/10))/2.3026))),0)</f>
        <v>0</v>
      </c>
      <c r="E6" s="97">
        <v>100</v>
      </c>
      <c r="F6" s="97">
        <v>1000</v>
      </c>
      <c r="G6" s="97">
        <v>10000</v>
      </c>
      <c r="H6" s="97">
        <v>100000</v>
      </c>
      <c r="I6" s="97">
        <v>1000000</v>
      </c>
      <c r="J6" s="94"/>
      <c r="M6" s="37"/>
      <c r="N6" s="37">
        <v>1</v>
      </c>
      <c r="O6" s="37">
        <v>2</v>
      </c>
      <c r="P6" s="37">
        <v>3</v>
      </c>
      <c r="Q6" s="37">
        <v>4</v>
      </c>
      <c r="R6" s="37">
        <v>5</v>
      </c>
    </row>
    <row r="7" spans="1:18" ht="169.5" thickBot="1" x14ac:dyDescent="0.35">
      <c r="A7" s="124" t="s">
        <v>26</v>
      </c>
      <c r="B7" s="49" t="s">
        <v>14</v>
      </c>
      <c r="C7" s="123"/>
      <c r="D7" s="125">
        <f>C7</f>
        <v>0</v>
      </c>
      <c r="E7" s="84" t="s">
        <v>134</v>
      </c>
      <c r="F7" s="48" t="s">
        <v>135</v>
      </c>
      <c r="G7" s="48" t="s">
        <v>136</v>
      </c>
      <c r="H7" s="84" t="s">
        <v>137</v>
      </c>
      <c r="I7" s="48" t="s">
        <v>138</v>
      </c>
      <c r="J7" s="98"/>
      <c r="M7" s="37" t="s">
        <v>2</v>
      </c>
      <c r="N7" s="121">
        <v>10000</v>
      </c>
      <c r="O7" s="121">
        <v>100000</v>
      </c>
      <c r="P7" s="121">
        <v>1000000</v>
      </c>
      <c r="Q7" s="121">
        <v>10000000</v>
      </c>
      <c r="R7" s="121">
        <v>100000000</v>
      </c>
    </row>
    <row r="8" spans="1:18" ht="52.5" customHeight="1" x14ac:dyDescent="0.3">
      <c r="M8" s="37" t="s">
        <v>23</v>
      </c>
      <c r="N8" s="121">
        <v>1000</v>
      </c>
      <c r="O8" s="121">
        <v>10000</v>
      </c>
      <c r="P8" s="121">
        <v>100000</v>
      </c>
      <c r="Q8" s="121">
        <v>1000000</v>
      </c>
      <c r="R8" s="121">
        <v>10000000</v>
      </c>
    </row>
    <row r="9" spans="1:18" x14ac:dyDescent="0.3">
      <c r="M9" s="37" t="s">
        <v>43</v>
      </c>
      <c r="N9" s="37">
        <v>100</v>
      </c>
      <c r="O9" s="37">
        <v>1000</v>
      </c>
      <c r="P9" s="37">
        <v>10000</v>
      </c>
      <c r="Q9" s="37">
        <v>100000</v>
      </c>
      <c r="R9" s="37">
        <v>1000000</v>
      </c>
    </row>
    <row r="36" spans="5:5" x14ac:dyDescent="0.3">
      <c r="E36" s="126"/>
    </row>
    <row r="37" spans="5:5" x14ac:dyDescent="0.3">
      <c r="E37" s="126"/>
    </row>
    <row r="38" spans="5:5" x14ac:dyDescent="0.3">
      <c r="E38" s="126"/>
    </row>
    <row r="39" spans="5:5" x14ac:dyDescent="0.3">
      <c r="E39" s="126"/>
    </row>
    <row r="40" spans="5:5" x14ac:dyDescent="0.3">
      <c r="E40" s="126"/>
    </row>
    <row r="41" spans="5:5" x14ac:dyDescent="0.3">
      <c r="E41" s="126"/>
    </row>
    <row r="42" spans="5:5" x14ac:dyDescent="0.3">
      <c r="E42" s="126"/>
    </row>
    <row r="43" spans="5:5" x14ac:dyDescent="0.3">
      <c r="E43" s="126"/>
    </row>
    <row r="44" spans="5:5" x14ac:dyDescent="0.3">
      <c r="E44" s="126"/>
    </row>
    <row r="45" spans="5:5" x14ac:dyDescent="0.3">
      <c r="E45" s="126"/>
    </row>
    <row r="46" spans="5:5" x14ac:dyDescent="0.3">
      <c r="E46" s="126"/>
    </row>
    <row r="47" spans="5:5" x14ac:dyDescent="0.3">
      <c r="E47" s="126"/>
    </row>
    <row r="48" spans="5:5" x14ac:dyDescent="0.3">
      <c r="E48" s="126"/>
    </row>
    <row r="49" spans="5:5" x14ac:dyDescent="0.3">
      <c r="E49" s="126"/>
    </row>
    <row r="50" spans="5:5" x14ac:dyDescent="0.3">
      <c r="E50" s="126"/>
    </row>
    <row r="51" spans="5:5" x14ac:dyDescent="0.3">
      <c r="E51" s="126"/>
    </row>
    <row r="52" spans="5:5" x14ac:dyDescent="0.3">
      <c r="E52" s="126"/>
    </row>
    <row r="53" spans="5:5" x14ac:dyDescent="0.3">
      <c r="E53" s="126"/>
    </row>
    <row r="54" spans="5:5" x14ac:dyDescent="0.3">
      <c r="E54" s="126"/>
    </row>
    <row r="55" spans="5:5" x14ac:dyDescent="0.3">
      <c r="E55" s="126"/>
    </row>
    <row r="56" spans="5:5" x14ac:dyDescent="0.3">
      <c r="E56" s="126"/>
    </row>
    <row r="57" spans="5:5" x14ac:dyDescent="0.3">
      <c r="E57" s="126"/>
    </row>
    <row r="58" spans="5:5" x14ac:dyDescent="0.3">
      <c r="E58" s="126"/>
    </row>
    <row r="59" spans="5:5" x14ac:dyDescent="0.3">
      <c r="E59" s="126"/>
    </row>
    <row r="60" spans="5:5" x14ac:dyDescent="0.3">
      <c r="E60" s="126"/>
    </row>
  </sheetData>
  <sortState ref="E34:E58">
    <sortCondition ref="E34"/>
  </sortState>
  <mergeCells count="1">
    <mergeCell ref="D1:D2"/>
  </mergeCells>
  <conditionalFormatting sqref="H2:J2">
    <cfRule type="expression" dxfId="2" priority="1">
      <formula>IF($F$1="yes",TRUE,FALSE)</formula>
    </cfRule>
  </conditionalFormatting>
  <dataValidations count="3">
    <dataValidation type="list" allowBlank="1" showInputMessage="1" showErrorMessage="1" sqref="C7">
      <formula1>$N$6:$R$6</formula1>
    </dataValidation>
    <dataValidation type="list" allowBlank="1" showInputMessage="1" showErrorMessage="1" sqref="B5">
      <formula1>$M$7:$M$8</formula1>
    </dataValidation>
    <dataValidation type="list" allowBlank="1" showInputMessage="1" showErrorMessage="1" sqref="F1">
      <formula1>$M$1:$N$1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N10"/>
  <sheetViews>
    <sheetView showGridLines="0" zoomScale="64" zoomScaleNormal="64" workbookViewId="0">
      <selection activeCell="B5" sqref="B5"/>
    </sheetView>
  </sheetViews>
  <sheetFormatPr baseColWidth="10" defaultColWidth="9.140625" defaultRowHeight="18.75" outlineLevelCol="1" x14ac:dyDescent="0.3"/>
  <cols>
    <col min="1" max="1" width="49" style="33" bestFit="1" customWidth="1"/>
    <col min="2" max="2" width="26.140625" style="33" bestFit="1" customWidth="1"/>
    <col min="3" max="3" width="21" style="33" customWidth="1"/>
    <col min="4" max="4" width="45.140625" style="33" bestFit="1" customWidth="1"/>
    <col min="5" max="5" width="24" style="33" bestFit="1" customWidth="1"/>
    <col min="6" max="6" width="26.5703125" style="33" bestFit="1" customWidth="1"/>
    <col min="7" max="7" width="28.42578125" style="33" customWidth="1"/>
    <col min="8" max="8" width="32.7109375" style="33" bestFit="1" customWidth="1"/>
    <col min="9" max="9" width="33.85546875" style="33" customWidth="1"/>
    <col min="10" max="10" width="35" style="33" customWidth="1"/>
    <col min="11" max="11" width="9.140625" style="33"/>
    <col min="12" max="13" width="9.140625" style="33" hidden="1" customWidth="1" outlineLevel="1"/>
    <col min="14" max="14" width="9.140625" style="33" collapsed="1"/>
    <col min="15" max="16384" width="9.140625" style="33"/>
  </cols>
  <sheetData>
    <row r="1" spans="1:13" ht="19.5" thickBot="1" x14ac:dyDescent="0.35">
      <c r="D1" s="182" t="s">
        <v>62</v>
      </c>
      <c r="E1" s="34"/>
      <c r="F1" s="35" t="s">
        <v>12</v>
      </c>
      <c r="G1" s="34"/>
      <c r="H1" s="34" t="str">
        <f>IF(F1="yes","Reduce crime weight","")</f>
        <v/>
      </c>
      <c r="I1" s="34" t="str">
        <f>IF(F1="yes","Work Safety weight","")</f>
        <v/>
      </c>
      <c r="J1" s="36"/>
      <c r="L1" s="37" t="s">
        <v>11</v>
      </c>
      <c r="M1" s="37" t="s">
        <v>12</v>
      </c>
    </row>
    <row r="2" spans="1:13" ht="19.5" thickBot="1" x14ac:dyDescent="0.35">
      <c r="A2" s="38" t="s">
        <v>17</v>
      </c>
      <c r="B2" s="181">
        <f>IF(F1="no",(0.8*MAX(C5:C6)+0.2*((SUM(C5:C6)-MAX(C5:C6)))),H2*C5+I2*C6)</f>
        <v>0</v>
      </c>
      <c r="D2" s="183"/>
      <c r="E2" s="40"/>
      <c r="F2" s="40"/>
      <c r="G2" s="40"/>
      <c r="H2" s="41"/>
      <c r="I2" s="41"/>
      <c r="J2" s="42" t="str">
        <f>IF(F1="yes",IF(SUM(H2:I2)=1,"custom weighing accepted","weighing must equal 1 in total"),"")</f>
        <v/>
      </c>
    </row>
    <row r="3" spans="1:13" ht="19.5" thickBot="1" x14ac:dyDescent="0.35"/>
    <row r="4" spans="1:13" ht="19.5" thickBot="1" x14ac:dyDescent="0.35">
      <c r="A4" s="131" t="s">
        <v>1</v>
      </c>
      <c r="B4" s="132" t="s">
        <v>3</v>
      </c>
      <c r="C4" s="133" t="s">
        <v>4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5" t="s">
        <v>61</v>
      </c>
    </row>
    <row r="5" spans="1:13" ht="306.75" customHeight="1" thickBot="1" x14ac:dyDescent="0.35">
      <c r="A5" s="104" t="s">
        <v>22</v>
      </c>
      <c r="B5" s="123"/>
      <c r="C5" s="127">
        <f>B5</f>
        <v>0</v>
      </c>
      <c r="D5" s="48" t="s">
        <v>139</v>
      </c>
      <c r="E5" s="48" t="s">
        <v>140</v>
      </c>
      <c r="F5" s="84" t="s">
        <v>141</v>
      </c>
      <c r="G5" s="48" t="s">
        <v>142</v>
      </c>
      <c r="H5" s="84" t="s">
        <v>143</v>
      </c>
      <c r="I5" s="98"/>
    </row>
    <row r="6" spans="1:13" ht="336.75" customHeight="1" thickBot="1" x14ac:dyDescent="0.35">
      <c r="A6" s="104" t="s">
        <v>92</v>
      </c>
      <c r="B6" s="123"/>
      <c r="C6" s="127">
        <f>B6</f>
        <v>0</v>
      </c>
      <c r="D6" s="48" t="s">
        <v>144</v>
      </c>
      <c r="E6" s="48" t="s">
        <v>145</v>
      </c>
      <c r="F6" s="84" t="s">
        <v>146</v>
      </c>
      <c r="G6" s="48" t="s">
        <v>147</v>
      </c>
      <c r="H6" s="48" t="s">
        <v>148</v>
      </c>
      <c r="I6" s="128"/>
    </row>
    <row r="9" spans="1:13" x14ac:dyDescent="0.3">
      <c r="J9" s="129"/>
    </row>
    <row r="10" spans="1:13" x14ac:dyDescent="0.3">
      <c r="J10" s="130"/>
    </row>
  </sheetData>
  <mergeCells count="1">
    <mergeCell ref="D1:D2"/>
  </mergeCells>
  <conditionalFormatting sqref="H2">
    <cfRule type="expression" dxfId="1" priority="2">
      <formula>IF($F$1="yes",TRUE,FALSE)</formula>
    </cfRule>
  </conditionalFormatting>
  <conditionalFormatting sqref="I2">
    <cfRule type="expression" dxfId="0" priority="1">
      <formula>IF($F$1="yes",TRUE,FALSE)</formula>
    </cfRule>
  </conditionalFormatting>
  <dataValidations count="2">
    <dataValidation type="list" allowBlank="1" showInputMessage="1" showErrorMessage="1" sqref="B5:B6">
      <formula1>$D$4:$H$4</formula1>
    </dataValidation>
    <dataValidation type="list" allowBlank="1" showInputMessage="1" showErrorMessage="1" sqref="F1">
      <formula1>$L$1:$M$1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showGridLines="0" zoomScale="85" zoomScaleNormal="85" workbookViewId="0"/>
  </sheetViews>
  <sheetFormatPr baseColWidth="10" defaultColWidth="11.42578125" defaultRowHeight="21" outlineLevelCol="1" x14ac:dyDescent="0.35"/>
  <cols>
    <col min="1" max="1" width="11.42578125" style="139"/>
    <col min="2" max="2" width="44.7109375" style="139" customWidth="1"/>
    <col min="3" max="3" width="11.42578125" style="139"/>
    <col min="4" max="4" width="9.140625" style="139" customWidth="1"/>
    <col min="5" max="5" width="11.42578125" style="139"/>
    <col min="6" max="6" width="14.28515625" style="139" bestFit="1" customWidth="1"/>
    <col min="7" max="7" width="18" style="139" bestFit="1" customWidth="1"/>
    <col min="8" max="8" width="16" style="139" bestFit="1" customWidth="1"/>
    <col min="9" max="12" width="11.42578125" style="139"/>
    <col min="13" max="19" width="11.42578125" style="139" hidden="1" customWidth="1" outlineLevel="1"/>
    <col min="20" max="20" width="11.42578125" style="139" collapsed="1"/>
    <col min="21" max="16384" width="11.42578125" style="139"/>
  </cols>
  <sheetData>
    <row r="1" spans="2:19" ht="21.75" thickBot="1" x14ac:dyDescent="0.4">
      <c r="I1" s="140"/>
      <c r="J1" s="141"/>
      <c r="K1" s="140"/>
      <c r="L1" s="140"/>
      <c r="M1" s="140" t="s">
        <v>56</v>
      </c>
      <c r="N1" s="140"/>
      <c r="O1" s="140"/>
      <c r="P1" s="140"/>
      <c r="Q1" s="140"/>
      <c r="R1" s="140"/>
      <c r="S1" s="140"/>
    </row>
    <row r="2" spans="2:19" x14ac:dyDescent="0.35">
      <c r="B2" s="142" t="s">
        <v>7</v>
      </c>
      <c r="C2" s="143"/>
      <c r="D2" s="144">
        <f>IF(G4+G5=0,0,IF(ISNUMBER((G4+(1/2*(G5*(IF(F5=I5,1,(IF(F5=J5,1/2,0)))))))),IF((LN((G4+(1/2*(G5*(IF(F5=I5,1,(IF(F5=J5,1/2,0)))))))/100)/2.3026)&gt;=5,5,IF((LN((G4+(1/2*(G5*(IF(F5=I5,1,(IF(F5=J5,1/2,0)))))))/100)/2.3026)&lt;=1,0,(LN((G4+(1/2*(G5*(IF(F5=I5,1,(IF(F5=J5,1/2,0)))))))/100)/2.3026))),0))</f>
        <v>0</v>
      </c>
      <c r="E2" s="143"/>
      <c r="F2" s="143"/>
      <c r="G2" s="143"/>
      <c r="H2" s="145"/>
      <c r="I2" s="140"/>
      <c r="J2" s="141"/>
      <c r="K2" s="140"/>
      <c r="L2" s="140"/>
      <c r="M2" s="140"/>
      <c r="N2" s="146">
        <v>1</v>
      </c>
      <c r="O2" s="146">
        <v>2</v>
      </c>
      <c r="P2" s="146">
        <v>3</v>
      </c>
      <c r="Q2" s="146">
        <v>4</v>
      </c>
      <c r="R2" s="146">
        <v>5</v>
      </c>
      <c r="S2" s="140"/>
    </row>
    <row r="3" spans="2:19" ht="21.75" thickBot="1" x14ac:dyDescent="0.4">
      <c r="B3" s="147"/>
      <c r="C3" s="148"/>
      <c r="D3" s="148"/>
      <c r="E3" s="148"/>
      <c r="F3" s="148" t="s">
        <v>6</v>
      </c>
      <c r="G3" s="148" t="s">
        <v>46</v>
      </c>
      <c r="H3" s="149"/>
      <c r="I3" s="140"/>
      <c r="J3" s="140"/>
      <c r="K3" s="140"/>
      <c r="L3" s="140"/>
      <c r="M3" s="140" t="s">
        <v>55</v>
      </c>
      <c r="N3" s="140">
        <v>1</v>
      </c>
      <c r="O3" s="140">
        <v>10</v>
      </c>
      <c r="P3" s="140">
        <v>100</v>
      </c>
      <c r="Q3" s="140">
        <v>1000</v>
      </c>
      <c r="R3" s="140">
        <v>10000</v>
      </c>
      <c r="S3" s="140" t="s">
        <v>2</v>
      </c>
    </row>
    <row r="4" spans="2:19" ht="21.75" thickBot="1" x14ac:dyDescent="0.4">
      <c r="B4" s="147" t="s">
        <v>48</v>
      </c>
      <c r="C4" s="148"/>
      <c r="D4" s="148"/>
      <c r="E4" s="148"/>
      <c r="F4" s="148" t="s">
        <v>14</v>
      </c>
      <c r="G4" s="150"/>
      <c r="H4" s="149"/>
      <c r="I4" s="140"/>
      <c r="J4" s="140"/>
      <c r="K4" s="140"/>
      <c r="L4" s="140"/>
      <c r="M4" s="140" t="s">
        <v>7</v>
      </c>
      <c r="N4" s="140">
        <v>1000</v>
      </c>
      <c r="O4" s="140">
        <v>10000</v>
      </c>
      <c r="P4" s="140">
        <v>100000</v>
      </c>
      <c r="Q4" s="140">
        <v>1000000</v>
      </c>
      <c r="R4" s="140">
        <v>10000000</v>
      </c>
      <c r="S4" s="140" t="s">
        <v>46</v>
      </c>
    </row>
    <row r="5" spans="2:19" ht="21.75" thickBot="1" x14ac:dyDescent="0.4">
      <c r="B5" s="147" t="s">
        <v>51</v>
      </c>
      <c r="C5" s="148"/>
      <c r="D5" s="148"/>
      <c r="E5" s="148"/>
      <c r="F5" s="150" t="s">
        <v>50</v>
      </c>
      <c r="G5" s="150"/>
      <c r="H5" s="149"/>
      <c r="I5" s="151" t="s">
        <v>50</v>
      </c>
      <c r="J5" s="151" t="s">
        <v>49</v>
      </c>
      <c r="K5" s="140"/>
      <c r="L5" s="140"/>
      <c r="M5" s="140"/>
      <c r="N5" s="140"/>
      <c r="O5" s="140"/>
      <c r="P5" s="140"/>
      <c r="Q5" s="140"/>
      <c r="R5" s="140"/>
      <c r="S5" s="140"/>
    </row>
    <row r="6" spans="2:19" ht="21.75" thickBot="1" x14ac:dyDescent="0.4">
      <c r="B6" s="152"/>
      <c r="C6" s="153"/>
      <c r="D6" s="153"/>
      <c r="E6" s="153"/>
      <c r="F6" s="153"/>
      <c r="G6" s="153"/>
      <c r="H6" s="154"/>
      <c r="I6" s="151"/>
      <c r="J6" s="151"/>
      <c r="K6" s="140"/>
      <c r="L6" s="140"/>
      <c r="M6" s="140"/>
      <c r="N6" s="140"/>
      <c r="O6" s="140"/>
      <c r="P6" s="140"/>
      <c r="Q6" s="140"/>
      <c r="R6" s="140"/>
      <c r="S6" s="140"/>
    </row>
    <row r="7" spans="2:19" x14ac:dyDescent="0.35">
      <c r="B7" s="142" t="s">
        <v>55</v>
      </c>
      <c r="C7" s="143"/>
      <c r="D7" s="144">
        <f>IF(G9+G10=0,0,IF(ISNUMBER((G9+(1/2*(G10*(IF(F10=I10,1,(IF(F10=J10,1/2,0)))))))),IF((LN((G9+(1/2*(G10*(IF(F10=I10,1,(IF(F10=J10,1/2,0)))))))*10)/2.3026)&gt;=5,5, IF((LN((G9+(1/2*(G10*(IF(F10=I10,1,(IF(F10=J10,1/2,0)))))))*10)/2.3026)&lt;=1,0,(LN((G9+(1/2*(G10*(IF(F10=I10,1,(IF(F10=J10,1/2,0)))))))*10)/2.3026))),0))</f>
        <v>0</v>
      </c>
      <c r="E7" s="143"/>
      <c r="F7" s="143"/>
      <c r="G7" s="143"/>
      <c r="H7" s="145"/>
      <c r="I7" s="151"/>
      <c r="J7" s="151"/>
      <c r="K7" s="140"/>
      <c r="L7" s="140"/>
      <c r="M7" s="140"/>
      <c r="N7" s="140"/>
      <c r="O7" s="140"/>
      <c r="P7" s="140"/>
      <c r="Q7" s="140"/>
      <c r="R7" s="140"/>
      <c r="S7" s="140"/>
    </row>
    <row r="8" spans="2:19" ht="21.75" thickBot="1" x14ac:dyDescent="0.4">
      <c r="B8" s="147"/>
      <c r="C8" s="148"/>
      <c r="D8" s="148"/>
      <c r="E8" s="148"/>
      <c r="F8" s="148" t="s">
        <v>6</v>
      </c>
      <c r="G8" s="148" t="s">
        <v>2</v>
      </c>
      <c r="H8" s="149"/>
      <c r="I8" s="151"/>
      <c r="J8" s="155"/>
      <c r="K8" s="140"/>
      <c r="L8" s="140"/>
      <c r="M8" s="140"/>
      <c r="N8" s="140"/>
      <c r="O8" s="140"/>
      <c r="P8" s="140"/>
      <c r="Q8" s="140"/>
      <c r="R8" s="140"/>
      <c r="S8" s="140"/>
    </row>
    <row r="9" spans="2:19" ht="21.75" thickBot="1" x14ac:dyDescent="0.4">
      <c r="B9" s="147" t="s">
        <v>52</v>
      </c>
      <c r="C9" s="148"/>
      <c r="D9" s="148"/>
      <c r="E9" s="148"/>
      <c r="F9" s="148" t="s">
        <v>14</v>
      </c>
      <c r="G9" s="156"/>
      <c r="H9" s="157"/>
      <c r="I9" s="151"/>
      <c r="J9" s="155"/>
      <c r="K9" s="140"/>
      <c r="L9" s="140"/>
      <c r="M9" s="140"/>
      <c r="N9" s="140"/>
      <c r="O9" s="140"/>
      <c r="P9" s="140"/>
      <c r="Q9" s="140"/>
      <c r="R9" s="140"/>
      <c r="S9" s="140"/>
    </row>
    <row r="10" spans="2:19" ht="21.75" thickBot="1" x14ac:dyDescent="0.4">
      <c r="B10" s="147" t="s">
        <v>53</v>
      </c>
      <c r="C10" s="148"/>
      <c r="D10" s="148"/>
      <c r="E10" s="148"/>
      <c r="F10" s="156" t="s">
        <v>47</v>
      </c>
      <c r="G10" s="156"/>
      <c r="H10" s="149"/>
      <c r="I10" s="151" t="s">
        <v>47</v>
      </c>
      <c r="J10" s="151" t="s">
        <v>54</v>
      </c>
      <c r="K10" s="140"/>
      <c r="L10" s="140"/>
      <c r="M10" s="140"/>
      <c r="N10" s="140"/>
      <c r="O10" s="140"/>
      <c r="P10" s="140"/>
      <c r="Q10" s="140"/>
      <c r="R10" s="140"/>
      <c r="S10" s="140"/>
    </row>
    <row r="11" spans="2:19" ht="21.75" thickBot="1" x14ac:dyDescent="0.4">
      <c r="B11" s="152"/>
      <c r="C11" s="153"/>
      <c r="D11" s="153"/>
      <c r="E11" s="153"/>
      <c r="F11" s="153"/>
      <c r="G11" s="153"/>
      <c r="H11" s="154"/>
    </row>
    <row r="13" spans="2:19" ht="21.75" thickBot="1" x14ac:dyDescent="0.4"/>
    <row r="14" spans="2:19" ht="21.75" thickBot="1" x14ac:dyDescent="0.4">
      <c r="F14" s="177"/>
      <c r="G14" s="159" t="s">
        <v>103</v>
      </c>
    </row>
    <row r="15" spans="2:19" ht="21.75" thickBot="1" x14ac:dyDescent="0.4">
      <c r="F15" s="158">
        <f>+F14/2.41</f>
        <v>0</v>
      </c>
      <c r="G15" s="159" t="s">
        <v>104</v>
      </c>
    </row>
    <row r="16" spans="2:19" ht="21.75" thickBot="1" x14ac:dyDescent="0.4">
      <c r="F16" s="158">
        <f>+F15*365</f>
        <v>0</v>
      </c>
      <c r="G16" s="159" t="s">
        <v>105</v>
      </c>
    </row>
    <row r="17" spans="6:7" ht="21.75" thickBot="1" x14ac:dyDescent="0.4">
      <c r="F17" s="177"/>
      <c r="G17" s="159" t="s">
        <v>101</v>
      </c>
    </row>
    <row r="18" spans="6:7" ht="21.75" thickBot="1" x14ac:dyDescent="0.4">
      <c r="F18" s="158">
        <f>+F17*F16</f>
        <v>0</v>
      </c>
      <c r="G18" s="159" t="s">
        <v>106</v>
      </c>
    </row>
  </sheetData>
  <dataValidations count="2">
    <dataValidation type="list" allowBlank="1" showInputMessage="1" showErrorMessage="1" sqref="F5">
      <formula1>$I$5:$J$5</formula1>
    </dataValidation>
    <dataValidation type="list" allowBlank="1" showInputMessage="1" showErrorMessage="1" sqref="F10">
      <formula1>$I$10:$J$10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1"/>
  <sheetViews>
    <sheetView showGridLines="0" zoomScale="80" zoomScaleNormal="80" workbookViewId="0">
      <selection activeCell="F25" sqref="F25"/>
    </sheetView>
  </sheetViews>
  <sheetFormatPr baseColWidth="10" defaultColWidth="11.42578125" defaultRowHeight="18.75" outlineLevelCol="1" x14ac:dyDescent="0.3"/>
  <cols>
    <col min="1" max="7" width="11.42578125" style="33"/>
    <col min="8" max="8" width="15.85546875" style="33" customWidth="1"/>
    <col min="9" max="11" width="11.42578125" style="33"/>
    <col min="12" max="12" width="17.7109375" style="33" customWidth="1"/>
    <col min="13" max="13" width="11.42578125" style="33"/>
    <col min="14" max="19" width="11.42578125" style="33" hidden="1" customWidth="1" outlineLevel="1"/>
    <col min="20" max="20" width="11.42578125" style="33" collapsed="1"/>
    <col min="21" max="16384" width="11.42578125" style="33"/>
  </cols>
  <sheetData>
    <row r="1" spans="2:20" ht="19.5" thickBot="1" x14ac:dyDescent="0.35">
      <c r="N1" s="33" t="s">
        <v>58</v>
      </c>
    </row>
    <row r="2" spans="2:20" x14ac:dyDescent="0.3">
      <c r="B2" s="136" t="s">
        <v>28</v>
      </c>
      <c r="C2" s="34"/>
      <c r="D2" s="34"/>
      <c r="E2" s="34"/>
      <c r="F2" s="34"/>
      <c r="G2" s="34"/>
      <c r="H2" s="34"/>
      <c r="I2" s="160">
        <f>IF(I4=0,0,IF(((J10*((10*LOG10(10^(I4/10)*(1+((I6-1)*I8)))-10*LOG10(10^((I4-I5)/10)*(1+((I7-1)*I9))))*LN(10)/20)+((I4/5)*LN(10)/20))/2.3026)+1&lt;1,1,IF(((J10*((10*LOG10(10^(I4/10)*(1+((I6-1)*I8)))-10*LOG10(10^((I4-I5)/10)*(1+((I7-1)*I9))))*LN(10)/20)+((I4/5)*LN(10)/20))/2.3026)+1&gt;5,5,(((J10*((10*LOG10(10^(I4/10)*(1+((I6-1)*I8)))-10*LOG10(10^((I4-I5)/10)*(1+((I7-1)*I9))))*LN(10)/20)+((I4/5)*LN(10)/20))/2.3026)+1))))</f>
        <v>0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6"/>
    </row>
    <row r="3" spans="2:20" x14ac:dyDescent="0.3">
      <c r="B3" s="137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161">
        <v>1</v>
      </c>
      <c r="P3" s="161">
        <v>2</v>
      </c>
      <c r="Q3" s="161">
        <v>3</v>
      </c>
      <c r="R3" s="161">
        <v>4</v>
      </c>
      <c r="S3" s="161">
        <v>5</v>
      </c>
      <c r="T3" s="65"/>
    </row>
    <row r="4" spans="2:20" x14ac:dyDescent="0.3">
      <c r="B4" s="137" t="s">
        <v>30</v>
      </c>
      <c r="C4" s="62"/>
      <c r="D4" s="62"/>
      <c r="E4" s="62"/>
      <c r="F4" s="62"/>
      <c r="G4" s="62"/>
      <c r="H4" s="62"/>
      <c r="I4" s="63"/>
      <c r="J4" s="162">
        <f>I4*LN(10)/20</f>
        <v>0</v>
      </c>
      <c r="K4" s="62"/>
      <c r="L4" s="62"/>
      <c r="M4" s="62"/>
      <c r="N4" s="161" t="s">
        <v>20</v>
      </c>
      <c r="O4" s="161">
        <v>0</v>
      </c>
      <c r="P4" s="163">
        <f>O4+2.302585</f>
        <v>2.3025850000000001</v>
      </c>
      <c r="Q4" s="163">
        <f t="shared" ref="Q4:S4" si="0">P4+2.302585</f>
        <v>4.6051700000000002</v>
      </c>
      <c r="R4" s="163">
        <f t="shared" si="0"/>
        <v>6.9077549999999999</v>
      </c>
      <c r="S4" s="163">
        <f t="shared" si="0"/>
        <v>9.2103400000000004</v>
      </c>
      <c r="T4" s="65"/>
    </row>
    <row r="5" spans="2:20" x14ac:dyDescent="0.3">
      <c r="B5" s="137" t="s">
        <v>29</v>
      </c>
      <c r="C5" s="62"/>
      <c r="D5" s="62"/>
      <c r="E5" s="62"/>
      <c r="F5" s="62"/>
      <c r="G5" s="62"/>
      <c r="H5" s="62"/>
      <c r="I5" s="63"/>
      <c r="J5" s="162">
        <f>I5*LN(10)/20</f>
        <v>0</v>
      </c>
      <c r="K5" s="164"/>
      <c r="L5" s="62"/>
      <c r="M5" s="62"/>
      <c r="N5" s="161" t="s">
        <v>73</v>
      </c>
      <c r="O5" s="161">
        <v>10</v>
      </c>
      <c r="P5" s="161">
        <v>100</v>
      </c>
      <c r="Q5" s="161">
        <v>1000</v>
      </c>
      <c r="R5" s="161">
        <v>10000</v>
      </c>
      <c r="S5" s="161">
        <v>100000</v>
      </c>
      <c r="T5" s="65"/>
    </row>
    <row r="6" spans="2:20" x14ac:dyDescent="0.3">
      <c r="B6" s="137" t="s">
        <v>79</v>
      </c>
      <c r="C6" s="62"/>
      <c r="D6" s="62"/>
      <c r="E6" s="62"/>
      <c r="F6" s="62"/>
      <c r="G6" s="62"/>
      <c r="H6" s="62"/>
      <c r="I6" s="63"/>
      <c r="J6" s="162"/>
      <c r="K6" s="62"/>
      <c r="L6" s="62"/>
      <c r="M6" s="62"/>
      <c r="N6" s="62"/>
      <c r="O6" s="62"/>
      <c r="P6" s="62"/>
      <c r="Q6" s="62"/>
      <c r="R6" s="62"/>
      <c r="S6" s="62"/>
      <c r="T6" s="65"/>
    </row>
    <row r="7" spans="2:20" x14ac:dyDescent="0.3">
      <c r="B7" s="137" t="s">
        <v>80</v>
      </c>
      <c r="C7" s="62"/>
      <c r="D7" s="62"/>
      <c r="E7" s="62"/>
      <c r="F7" s="62"/>
      <c r="G7" s="62"/>
      <c r="H7" s="62"/>
      <c r="I7" s="63"/>
      <c r="J7" s="162"/>
      <c r="K7" s="62"/>
      <c r="L7" s="62"/>
      <c r="M7" s="62"/>
      <c r="N7" s="62"/>
      <c r="O7" s="62"/>
      <c r="P7" s="62"/>
      <c r="Q7" s="62"/>
      <c r="R7" s="62"/>
      <c r="S7" s="62"/>
      <c r="T7" s="65"/>
    </row>
    <row r="8" spans="2:20" x14ac:dyDescent="0.3">
      <c r="B8" s="137" t="s">
        <v>77</v>
      </c>
      <c r="C8" s="62"/>
      <c r="D8" s="62"/>
      <c r="E8" s="62"/>
      <c r="F8" s="62"/>
      <c r="G8" s="62"/>
      <c r="H8" s="62"/>
      <c r="I8" s="63"/>
      <c r="J8" s="162"/>
      <c r="K8" s="62"/>
      <c r="L8" s="62"/>
      <c r="M8" s="62"/>
      <c r="N8" s="62"/>
      <c r="O8" s="62"/>
      <c r="P8" s="62"/>
      <c r="Q8" s="62"/>
      <c r="R8" s="62"/>
      <c r="S8" s="62"/>
      <c r="T8" s="65"/>
    </row>
    <row r="9" spans="2:20" x14ac:dyDescent="0.3">
      <c r="B9" s="137" t="s">
        <v>78</v>
      </c>
      <c r="C9" s="62"/>
      <c r="D9" s="62"/>
      <c r="E9" s="62"/>
      <c r="F9" s="62"/>
      <c r="G9" s="62"/>
      <c r="H9" s="62"/>
      <c r="I9" s="63"/>
      <c r="J9" s="162"/>
      <c r="K9" s="62"/>
      <c r="L9" s="62"/>
      <c r="M9" s="62"/>
      <c r="N9" s="62"/>
      <c r="O9" s="62"/>
      <c r="P9" s="62"/>
      <c r="Q9" s="62"/>
      <c r="R9" s="62"/>
      <c r="S9" s="62"/>
      <c r="T9" s="65"/>
    </row>
    <row r="10" spans="2:20" x14ac:dyDescent="0.3">
      <c r="B10" s="137" t="s">
        <v>82</v>
      </c>
      <c r="C10" s="62"/>
      <c r="D10" s="62"/>
      <c r="E10" s="62"/>
      <c r="F10" s="62"/>
      <c r="G10" s="62"/>
      <c r="H10" s="62"/>
      <c r="I10" s="63"/>
      <c r="J10" s="162" t="e">
        <f>LN(I10)</f>
        <v>#NUM!</v>
      </c>
      <c r="K10" s="62"/>
      <c r="L10" s="62"/>
      <c r="M10" s="62"/>
      <c r="N10" s="62"/>
      <c r="O10" s="62"/>
      <c r="P10" s="62"/>
      <c r="Q10" s="62"/>
      <c r="R10" s="62"/>
      <c r="S10" s="62"/>
      <c r="T10" s="65"/>
    </row>
    <row r="11" spans="2:20" ht="19.5" thickBot="1" x14ac:dyDescent="0.35">
      <c r="B11" s="13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2"/>
    </row>
    <row r="12" spans="2:20" x14ac:dyDescent="0.3">
      <c r="B12" s="136" t="s">
        <v>67</v>
      </c>
      <c r="C12" s="34"/>
      <c r="D12" s="34"/>
      <c r="E12" s="34"/>
      <c r="F12" s="34"/>
      <c r="G12" s="165">
        <f>IF(G19&lt;&gt;0,IF(((LN(G19))/2.3026)&gt;=5,5,IF(((LN(G19))/2.3026)&lt;=1,0,((LN(G19))/2.3026))),0)</f>
        <v>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6"/>
    </row>
    <row r="13" spans="2:20" x14ac:dyDescent="0.3">
      <c r="B13" s="166"/>
      <c r="C13" s="62"/>
      <c r="D13" s="62"/>
      <c r="E13" s="62"/>
      <c r="F13" s="62"/>
      <c r="G13" s="62"/>
      <c r="H13" s="62"/>
      <c r="I13" s="167" t="s">
        <v>95</v>
      </c>
      <c r="J13" s="167" t="s">
        <v>96</v>
      </c>
      <c r="K13" s="167" t="s">
        <v>97</v>
      </c>
      <c r="L13" s="167" t="s">
        <v>98</v>
      </c>
      <c r="M13" s="62"/>
      <c r="N13" s="62"/>
      <c r="O13" s="62"/>
      <c r="P13" s="62"/>
      <c r="Q13" s="62"/>
      <c r="R13" s="62"/>
      <c r="S13" s="62"/>
      <c r="T13" s="65"/>
    </row>
    <row r="14" spans="2:20" x14ac:dyDescent="0.3">
      <c r="B14" s="137" t="s">
        <v>68</v>
      </c>
      <c r="C14" s="62"/>
      <c r="D14" s="62"/>
      <c r="E14" s="63"/>
      <c r="F14" s="62"/>
      <c r="G14" s="168">
        <f>E14</f>
        <v>0</v>
      </c>
      <c r="H14" s="62"/>
      <c r="I14" s="164">
        <v>4.2909999999999997E-2</v>
      </c>
      <c r="J14" s="164">
        <f>+I14*365</f>
        <v>15.662149999999999</v>
      </c>
      <c r="K14" s="164">
        <v>0.4</v>
      </c>
      <c r="L14" s="164">
        <f>+J14*K14</f>
        <v>6.2648599999999997</v>
      </c>
      <c r="M14" s="62"/>
      <c r="N14" s="62"/>
      <c r="O14" s="62"/>
      <c r="P14" s="62"/>
      <c r="Q14" s="62"/>
      <c r="R14" s="62"/>
      <c r="S14" s="62"/>
      <c r="T14" s="65"/>
    </row>
    <row r="15" spans="2:20" x14ac:dyDescent="0.3">
      <c r="B15" s="137" t="s">
        <v>69</v>
      </c>
      <c r="C15" s="62"/>
      <c r="D15" s="62"/>
      <c r="E15" s="63"/>
      <c r="F15" s="62"/>
      <c r="G15" s="168">
        <f>E15*0.73</f>
        <v>0</v>
      </c>
      <c r="H15" s="62"/>
      <c r="I15" s="164">
        <v>4.2909999999999997E-2</v>
      </c>
      <c r="J15" s="164">
        <f t="shared" ref="J15:J18" si="1">+I15*365</f>
        <v>15.662149999999999</v>
      </c>
      <c r="K15" s="164">
        <v>0.4</v>
      </c>
      <c r="L15" s="164">
        <f t="shared" ref="L15:L18" si="2">+J15*K15</f>
        <v>6.2648599999999997</v>
      </c>
      <c r="M15" s="62"/>
      <c r="N15" s="62"/>
      <c r="O15" s="62"/>
      <c r="P15" s="62"/>
      <c r="Q15" s="62"/>
      <c r="R15" s="62"/>
      <c r="S15" s="62"/>
      <c r="T15" s="65"/>
    </row>
    <row r="16" spans="2:20" x14ac:dyDescent="0.3">
      <c r="B16" s="137" t="s">
        <v>70</v>
      </c>
      <c r="C16" s="62"/>
      <c r="D16" s="62"/>
      <c r="E16" s="63"/>
      <c r="F16" s="62"/>
      <c r="G16" s="168">
        <f>E16*0.88</f>
        <v>0</v>
      </c>
      <c r="H16" s="62"/>
      <c r="I16" s="164">
        <v>0.37204999999999999</v>
      </c>
      <c r="J16" s="164">
        <f t="shared" si="1"/>
        <v>135.79825</v>
      </c>
      <c r="K16" s="164">
        <v>0.4</v>
      </c>
      <c r="L16" s="164">
        <f t="shared" si="2"/>
        <v>54.319299999999998</v>
      </c>
      <c r="M16" s="62"/>
      <c r="N16" s="62"/>
      <c r="O16" s="62"/>
      <c r="P16" s="62"/>
      <c r="Q16" s="62"/>
      <c r="R16" s="62"/>
      <c r="S16" s="62"/>
      <c r="T16" s="65"/>
    </row>
    <row r="17" spans="2:20" x14ac:dyDescent="0.3">
      <c r="B17" s="137" t="s">
        <v>71</v>
      </c>
      <c r="C17" s="62"/>
      <c r="D17" s="62"/>
      <c r="E17" s="63"/>
      <c r="F17" s="62"/>
      <c r="G17" s="168">
        <f>E17*0.64</f>
        <v>0</v>
      </c>
      <c r="H17" s="62"/>
      <c r="I17" s="164">
        <v>0</v>
      </c>
      <c r="J17" s="164">
        <f t="shared" si="1"/>
        <v>0</v>
      </c>
      <c r="K17" s="164">
        <v>0.4</v>
      </c>
      <c r="L17" s="164">
        <f t="shared" si="2"/>
        <v>0</v>
      </c>
      <c r="M17" s="62"/>
      <c r="N17" s="62"/>
      <c r="O17" s="62"/>
      <c r="P17" s="62"/>
      <c r="Q17" s="62"/>
      <c r="R17" s="62"/>
      <c r="S17" s="62"/>
      <c r="T17" s="65"/>
    </row>
    <row r="18" spans="2:20" x14ac:dyDescent="0.3">
      <c r="B18" s="137" t="s">
        <v>72</v>
      </c>
      <c r="C18" s="62"/>
      <c r="D18" s="62"/>
      <c r="E18" s="63"/>
      <c r="F18" s="62"/>
      <c r="G18" s="168">
        <f>E18*0.54</f>
        <v>0</v>
      </c>
      <c r="H18" s="62"/>
      <c r="I18" s="164">
        <v>0.33672000000000002</v>
      </c>
      <c r="J18" s="164">
        <f t="shared" si="1"/>
        <v>122.90280000000001</v>
      </c>
      <c r="K18" s="164">
        <v>0.4</v>
      </c>
      <c r="L18" s="164">
        <f t="shared" si="2"/>
        <v>49.161120000000011</v>
      </c>
      <c r="M18" s="62"/>
      <c r="N18" s="62"/>
      <c r="O18" s="62"/>
      <c r="P18" s="62"/>
      <c r="Q18" s="62"/>
      <c r="R18" s="62"/>
      <c r="S18" s="62"/>
      <c r="T18" s="65"/>
    </row>
    <row r="19" spans="2:20" x14ac:dyDescent="0.3">
      <c r="B19" s="137"/>
      <c r="C19" s="62"/>
      <c r="D19" s="62"/>
      <c r="E19" s="62"/>
      <c r="F19" s="62"/>
      <c r="G19" s="168">
        <f>SUM(G14:G18)</f>
        <v>0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5"/>
    </row>
    <row r="20" spans="2:20" ht="19.5" thickBot="1" x14ac:dyDescent="0.35">
      <c r="B20" s="138"/>
      <c r="C20" s="40"/>
      <c r="D20" s="40"/>
      <c r="E20" s="40"/>
      <c r="F20" s="40"/>
      <c r="G20" s="169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2"/>
    </row>
    <row r="21" spans="2:20" x14ac:dyDescent="0.3">
      <c r="B21" s="170"/>
      <c r="G21" s="171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Project Common Index</vt:lpstr>
      <vt:lpstr>Climate and Energy</vt:lpstr>
      <vt:lpstr>Port-City Relations</vt:lpstr>
      <vt:lpstr>Governance and Ethics</vt:lpstr>
      <vt:lpstr>Resilient Infrastructure</vt:lpstr>
      <vt:lpstr>Safety and Security</vt:lpstr>
      <vt:lpstr>TOOL waste reduction calc</vt:lpstr>
      <vt:lpstr>TOOL emission-reduction-calc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2021-01-19T16:15:15Z</dcterms:modified>
</cp:coreProperties>
</file>